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Welcome" sheetId="1" state="visible" r:id="rId1"/>
    <sheet xmlns:r="http://schemas.openxmlformats.org/officeDocument/2006/relationships" name="Questions" sheetId="2" state="visible" r:id="rId2"/>
    <sheet xmlns:r="http://schemas.openxmlformats.org/officeDocument/2006/relationships" name="Dashboard" sheetId="3" state="visible" r:id="rId3"/>
    <sheet xmlns:r="http://schemas.openxmlformats.org/officeDocument/2006/relationships" name="Gap Report" sheetId="4" state="visible" r:id="rId4"/>
    <sheet xmlns:r="http://schemas.openxmlformats.org/officeDocument/2006/relationships" name="About" sheetId="5" state="visible" r:id="rId5"/>
    <sheet xmlns:r="http://schemas.openxmlformats.org/officeDocument/2006/relationships" name="Lookups" sheetId="6" state="hidden" r:id="rId6"/>
    <sheet xmlns:r="http://schemas.openxmlformats.org/officeDocument/2006/relationships" name="Constants" sheetId="7" state="hidden" r:id="rId7"/>
  </sheets>
  <definedNames>
    <definedName name="Active_Score" hidden="0" function="0" vbProcedure="0">Dashboard!$B$4</definedName>
    <definedName name="Deduction_Range" hidden="0" function="0" vbProcedure="0">Questions!$L$2:$L$129</definedName>
    <definedName name="Effective_Pass_Range" hidden="0" function="0" vbProcedure="0">Questions!$K$2:$K$129</definedName>
    <definedName name="Is_Question_Row_Range" hidden="0" function="0" vbProcedure="0">Questions!$G$2:$G$129</definedName>
    <definedName name="Pass_Flag_Range" hidden="0" function="0" vbProcedure="0">Questions!$J$2:$J$129</definedName>
    <definedName name="Response_Range" hidden="0" function="0" vbProcedure="0">Questions!$D$2:$D$129</definedName>
    <definedName name="Risk_Threshold" hidden="0" function="0" vbProcedure="0">Constants!$B$4</definedName>
    <definedName name="Score_Calculable" hidden="0" function="0" vbProcedure="0">Questions!$D$104</definedName>
    <definedName name="SPRS_Max" hidden="0" function="0" vbProcedure="0">Constants!$B$2</definedName>
    <definedName name="SPRS_MaxDeduction" hidden="0" function="0" vbProcedure="0">Constants!$B$3</definedName>
    <definedName name="SPRS_Weight_Range" hidden="0" function="0" vbProcedure="0">Questions!$H$2:$H$129</definedName>
    <definedName name="Sub_Row_Parent_Range" hidden="0" function="0" vbProcedure="0">Questions!$I$2:$I$129</definedName>
    <definedName name="Family_Code_Range">Questions!$N$2:$N$129</definedName>
    <definedName name="Gap_Slot_Range">Questions!$O$2:$O$129</definedName>
    <definedName name="_xlnm._FilterDatabase" localSheetId="1" hidden="1">'Questions'!$A$1:$E$129</definedName>
    <definedName name="_xlnm.Print_Area" localSheetId="1">'Questions'!$A$1:$E$129</definedName>
    <definedName name="_xlnm._FilterDatabase" localSheetId="3" hidden="1">'Gap Report'!$A$4:$F$115</definedName>
  </definedNames>
  <calcPr calcId="124519" fullCalcOnLoad="1" refMode="A1" iterate="0" iterateCount="100" iterateDelta="0.0001"/>
</workbook>
</file>

<file path=xl/styles.xml><?xml version="1.0" encoding="utf-8"?>
<styleSheet xmlns="http://schemas.openxmlformats.org/spreadsheetml/2006/main">
  <numFmts count="0"/>
  <fonts count="34">
    <font>
      <name val="Calibri"/>
      <charset val="1"/>
      <family val="2"/>
      <color theme="1"/>
      <sz val="11"/>
    </font>
    <font>
      <name val="Arial"/>
      <family val="0"/>
      <sz val="10"/>
    </font>
    <font>
      <name val="Arial"/>
      <family val="0"/>
      <sz val="10"/>
    </font>
    <font>
      <name val="Arial"/>
      <family val="0"/>
      <sz val="10"/>
    </font>
    <font>
      <name val="Arial"/>
      <charset val="1"/>
      <family val="0"/>
      <b val="1"/>
      <color rgb="FF1F2A44"/>
      <sz val="18"/>
    </font>
    <font>
      <name val="Arial"/>
      <charset val="1"/>
      <family val="0"/>
      <i val="1"/>
      <color rgb="FF6B7280"/>
      <sz val="10"/>
    </font>
    <font>
      <name val="Arial"/>
      <charset val="1"/>
      <family val="0"/>
      <b val="1"/>
      <color rgb="FF1F2A44"/>
      <sz val="24"/>
    </font>
    <font>
      <name val="Arial"/>
      <charset val="1"/>
      <family val="0"/>
      <sz val="11"/>
    </font>
    <font>
      <name val="Arial"/>
      <charset val="1"/>
      <family val="0"/>
      <b val="1"/>
      <color rgb="FF1F2A44"/>
      <sz val="14"/>
    </font>
    <font>
      <name val="Arial"/>
      <charset val="1"/>
      <family val="0"/>
      <i val="1"/>
      <color rgb="FF9CA3AF"/>
      <sz val="10"/>
    </font>
    <font>
      <name val="Arial"/>
      <charset val="1"/>
      <family val="0"/>
      <b val="1"/>
      <sz val="11"/>
    </font>
    <font>
      <name val="Arial"/>
      <charset val="1"/>
      <family val="0"/>
      <color rgb="FF2563EB"/>
      <sz val="11"/>
      <u val="single"/>
    </font>
    <font>
      <name val="Arial"/>
      <charset val="1"/>
      <family val="0"/>
      <b val="1"/>
      <color rgb="FFFFFFFF"/>
      <sz val="12"/>
    </font>
    <font>
      <name val="Arial"/>
      <charset val="1"/>
      <family val="0"/>
      <b val="1"/>
      <i val="1"/>
      <color rgb="FFFFFFFF"/>
      <sz val="11"/>
    </font>
    <font>
      <name val="Arial"/>
      <charset val="1"/>
      <family val="0"/>
      <b val="1"/>
      <color rgb="FF1F2A44"/>
      <sz val="48"/>
    </font>
    <font>
      <name val="Arial"/>
      <charset val="1"/>
      <family val="0"/>
      <i val="1"/>
      <color rgb="FF9CA3AF"/>
      <sz val="12"/>
    </font>
    <font>
      <name val="Arial"/>
      <charset val="1"/>
      <family val="0"/>
      <color rgb="FF2563EB"/>
      <sz val="12"/>
      <u val="single"/>
    </font>
    <font>
      <name val="Arial"/>
      <family val="2"/>
      <sz val="10"/>
    </font>
    <font>
      <name val="Arial"/>
      <b val="1"/>
      <color rgb="00FFFFFF"/>
      <sz val="12"/>
    </font>
    <font>
      <name val="Arial"/>
      <b val="1"/>
      <sz val="14"/>
    </font>
    <font>
      <name val="Arial"/>
      <sz val="11"/>
    </font>
    <font>
      <name val="Arial"/>
      <b val="1"/>
      <color rgb="001F2A44"/>
      <sz val="48"/>
    </font>
    <font>
      <name val="Arial"/>
      <b val="1"/>
      <sz val="11"/>
    </font>
    <font>
      <name val="Arial"/>
      <b val="1"/>
      <color rgb="001F2A44"/>
      <sz val="14"/>
    </font>
    <font>
      <name val="Arial"/>
      <i val="1"/>
      <color rgb="004B5563"/>
      <sz val="11"/>
    </font>
    <font>
      <name val="Arial"/>
      <b val="1"/>
      <color rgb="001F2A44"/>
      <sz val="12"/>
    </font>
    <font>
      <name val="Arial"/>
      <i val="1"/>
      <sz val="11"/>
    </font>
    <font>
      <name val="Arial"/>
      <b val="1"/>
      <color rgb="00FFFFFF"/>
      <sz val="11"/>
    </font>
    <font>
      <name val="Arial"/>
      <b val="1"/>
      <color rgb="001B3A5C"/>
      <sz val="12"/>
    </font>
    <font>
      <name val="Arial"/>
      <i val="1"/>
      <color rgb="005A6B7C"/>
      <sz val="10"/>
    </font>
    <font>
      <name val="Arial"/>
      <b val="1"/>
      <i val="1"/>
      <color rgb="001B3A5C"/>
      <sz val="11"/>
    </font>
    <font>
      <name val="Arial"/>
      <b val="1"/>
      <color rgb="00FFFFFF"/>
      <sz val="10"/>
    </font>
    <font>
      <name val="Arial"/>
      <b val="1"/>
      <color rgb="00C00000"/>
      <sz val="11"/>
    </font>
    <font>
      <name val="Arial"/>
      <b val="1"/>
      <color rgb="00FFFFFF"/>
      <sz val="18"/>
    </font>
  </fonts>
  <fills count="11">
    <fill>
      <patternFill/>
    </fill>
    <fill>
      <patternFill patternType="gray125"/>
    </fill>
    <fill>
      <patternFill patternType="solid">
        <fgColor rgb="FFF5F5F8"/>
        <bgColor rgb="FFFFFFFF"/>
      </patternFill>
    </fill>
    <fill>
      <patternFill patternType="solid">
        <fgColor rgb="FF1F2A44"/>
        <bgColor rgb="FF003366"/>
      </patternFill>
    </fill>
    <fill>
      <patternFill patternType="solid">
        <fgColor rgb="FF5A6B8C"/>
        <bgColor rgb="FF6B7280"/>
      </patternFill>
    </fill>
    <fill>
      <patternFill patternType="solid">
        <fgColor rgb="FF7E8FB0"/>
        <bgColor rgb="FF9CA3AF"/>
      </patternFill>
    </fill>
    <fill>
      <patternFill patternType="solid">
        <fgColor rgb="001F2A44"/>
        <bgColor rgb="001F2A44"/>
      </patternFill>
    </fill>
    <fill>
      <patternFill patternType="solid">
        <fgColor rgb="00C00000"/>
      </patternFill>
    </fill>
    <fill>
      <patternFill patternType="solid">
        <fgColor rgb="001B3A5C"/>
      </patternFill>
    </fill>
    <fill>
      <patternFill patternType="solid">
        <fgColor rgb="00F2F5F8"/>
      </patternFill>
    </fill>
    <fill>
      <patternFill patternType="solid">
        <fgColor rgb="008A7A42"/>
      </patternFill>
    </fill>
  </fills>
  <borders count="4">
    <border>
      <left/>
      <right/>
      <top/>
      <bottom/>
      <diagonal/>
    </border>
    <border/>
    <border>
      <bottom style="thin">
        <color rgb="001B3A5C"/>
      </bottom>
    </border>
    <border>
      <bottom style="thin">
        <color rgb="00D6DEE6"/>
      </bottom>
    </border>
  </borders>
  <cellStyleXfs count="7">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xf numFmtId="0" fontId="20" fillId="0" borderId="1" applyAlignment="1" applyProtection="1">
      <alignment horizontal="center" vertical="center"/>
      <protection locked="0" hidden="0"/>
    </xf>
  </cellStyleXfs>
  <cellXfs count="119">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bottom"/>
    </xf>
    <xf numFmtId="0" fontId="10" fillId="2" borderId="0" applyAlignment="1" pivotButton="0" quotePrefix="0" xfId="0">
      <alignment horizontal="general" vertical="bottom"/>
    </xf>
    <xf numFmtId="0" fontId="11" fillId="0" borderId="0" applyAlignment="1" pivotButton="0" quotePrefix="0" xfId="0">
      <alignment horizontal="general" vertical="bottom"/>
    </xf>
    <xf numFmtId="0" fontId="7" fillId="0" borderId="0" applyAlignment="1" pivotButton="0" quotePrefix="0" xfId="0">
      <alignment horizontal="center" vertical="center"/>
    </xf>
    <xf numFmtId="0" fontId="12" fillId="3" borderId="0" applyAlignment="1" pivotButton="0" quotePrefix="0" xfId="0">
      <alignment horizontal="center" vertical="center"/>
    </xf>
    <xf numFmtId="0" fontId="12" fillId="4" borderId="0" applyAlignment="1" pivotButton="0" quotePrefix="0" xfId="0">
      <alignment horizontal="left" vertical="center"/>
    </xf>
    <xf numFmtId="0" fontId="7" fillId="0" borderId="0" applyAlignment="1" pivotButton="0" quotePrefix="0" xfId="0">
      <alignment horizontal="left" vertical="center"/>
    </xf>
    <xf numFmtId="0" fontId="7" fillId="0" borderId="0" applyAlignment="1" pivotButton="0" quotePrefix="0" xfId="0">
      <alignment horizontal="left" vertical="top"/>
    </xf>
    <xf numFmtId="0" fontId="7" fillId="0" borderId="0" applyAlignment="1" pivotButton="0" quotePrefix="0" xfId="0">
      <alignment horizontal="left" vertical="top" wrapText="1"/>
    </xf>
    <xf numFmtId="0" fontId="13" fillId="5" borderId="0" applyAlignment="1" pivotButton="0" quotePrefix="0" xfId="0">
      <alignment horizontal="left" vertical="center"/>
    </xf>
    <xf numFmtId="0" fontId="7" fillId="0" borderId="0" applyAlignment="1" pivotButton="0" quotePrefix="0" xfId="0">
      <alignment horizontal="left" vertical="top" indent="2"/>
    </xf>
    <xf numFmtId="0" fontId="4" fillId="0" borderId="0" applyAlignment="1" pivotButton="0" quotePrefix="0" xfId="0">
      <alignment horizontal="general" vertical="bottom"/>
    </xf>
    <xf numFmtId="0" fontId="14" fillId="0" borderId="0" applyAlignment="1" pivotButton="0" quotePrefix="0" xfId="0">
      <alignment horizontal="center" vertical="center"/>
    </xf>
    <xf numFmtId="0" fontId="15" fillId="0" borderId="0" applyAlignment="1" pivotButton="0" quotePrefix="0" xfId="0">
      <alignment horizontal="general" vertical="bottom"/>
    </xf>
    <xf numFmtId="0" fontId="10" fillId="0" borderId="0" applyAlignment="1" pivotButton="0" quotePrefix="0" xfId="0">
      <alignment horizontal="general" vertical="bottom"/>
    </xf>
    <xf numFmtId="0" fontId="9" fillId="0" borderId="0" applyAlignment="1" pivotButton="0" quotePrefix="0" xfId="0">
      <alignment horizontal="general" vertical="bottom"/>
    </xf>
    <xf numFmtId="0" fontId="7" fillId="0" borderId="0" applyAlignment="1" pivotButton="0" quotePrefix="0" xfId="0">
      <alignment horizontal="general" vertical="bottom"/>
    </xf>
    <xf numFmtId="0" fontId="16" fillId="0" borderId="0" applyAlignment="1" pivotButton="0" quotePrefix="0" xfId="0">
      <alignment horizontal="general" vertical="bottom"/>
    </xf>
    <xf numFmtId="0" fontId="12" fillId="3" borderId="0" applyAlignment="1" pivotButton="0" quotePrefix="0" xfId="0">
      <alignment horizontal="general" vertical="bottom"/>
    </xf>
    <xf numFmtId="0" fontId="7"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bottom"/>
    </xf>
    <xf numFmtId="0" fontId="20" fillId="0" borderId="0" applyAlignment="1" pivotButton="0" quotePrefix="0" xfId="0">
      <alignment horizontal="general" vertical="bottom"/>
    </xf>
    <xf numFmtId="0" fontId="10" fillId="2" borderId="0" applyAlignment="1" pivotButton="0" quotePrefix="0" xfId="0">
      <alignment horizontal="general" vertical="bottom"/>
    </xf>
    <xf numFmtId="0" fontId="22" fillId="0" borderId="0" pivotButton="0" quotePrefix="0" xfId="0"/>
    <xf numFmtId="0" fontId="11" fillId="0" borderId="0" applyAlignment="1" pivotButton="0" quotePrefix="0" xfId="0">
      <alignment horizontal="general" vertical="bottom"/>
    </xf>
    <xf numFmtId="0" fontId="7" fillId="0" borderId="0" applyAlignment="1" pivotButton="0" quotePrefix="0" xfId="0">
      <alignment horizontal="center" vertical="center"/>
    </xf>
    <xf numFmtId="0" fontId="20" fillId="0" borderId="0" applyAlignment="1" pivotButton="0" quotePrefix="0" xfId="0">
      <alignment horizontal="center" vertical="center"/>
    </xf>
    <xf numFmtId="0" fontId="20" fillId="0" borderId="0" pivotButton="0" quotePrefix="0" xfId="0"/>
    <xf numFmtId="0" fontId="12" fillId="3" borderId="0" applyAlignment="1" pivotButton="0" quotePrefix="0" xfId="0">
      <alignment horizontal="center" vertical="center"/>
    </xf>
    <xf numFmtId="0" fontId="18" fillId="6" borderId="0" applyAlignment="1" pivotButton="0" quotePrefix="0" xfId="0">
      <alignment horizontal="center" vertical="center"/>
    </xf>
    <xf numFmtId="0" fontId="12" fillId="4" borderId="0" applyAlignment="1" pivotButton="0" quotePrefix="0" xfId="0">
      <alignment horizontal="left" vertical="center"/>
    </xf>
    <xf numFmtId="0" fontId="19" fillId="4" borderId="0" applyAlignment="1" pivotButton="0" quotePrefix="0" xfId="0">
      <alignment horizontal="center" vertical="center"/>
    </xf>
    <xf numFmtId="0" fontId="20" fillId="4" borderId="0" applyAlignment="1" pivotButton="0" quotePrefix="0" xfId="0">
      <alignment horizontal="left" vertical="top"/>
    </xf>
    <xf numFmtId="0" fontId="20" fillId="0" borderId="0" applyAlignment="1" pivotButton="0" quotePrefix="0" xfId="0">
      <alignment horizontal="left" vertical="top"/>
    </xf>
    <xf numFmtId="0" fontId="7" fillId="0" borderId="0" applyAlignment="1" pivotButton="0" quotePrefix="0" xfId="0">
      <alignment horizontal="left" vertical="center"/>
    </xf>
    <xf numFmtId="0" fontId="7" fillId="0" borderId="0" applyAlignment="1" pivotButton="0" quotePrefix="0" xfId="0">
      <alignment horizontal="left" vertical="top"/>
    </xf>
    <xf numFmtId="0" fontId="7" fillId="0" borderId="0" applyAlignment="1" pivotButton="0" quotePrefix="0" xfId="0">
      <alignment horizontal="left" vertical="top" wrapText="1"/>
    </xf>
    <xf numFmtId="0" fontId="19" fillId="0" borderId="0" applyAlignment="1" pivotButton="0" quotePrefix="0" xfId="0">
      <alignment horizontal="center" vertical="center"/>
    </xf>
    <xf numFmtId="0" fontId="13" fillId="5" borderId="0" applyAlignment="1" pivotButton="0" quotePrefix="0" xfId="0">
      <alignment horizontal="left" vertical="center"/>
    </xf>
    <xf numFmtId="0" fontId="19" fillId="5" borderId="0" applyAlignment="1" pivotButton="0" quotePrefix="0" xfId="0">
      <alignment horizontal="center" vertical="center"/>
    </xf>
    <xf numFmtId="0" fontId="20" fillId="5" borderId="0" applyAlignment="1" pivotButton="0" quotePrefix="0" xfId="0">
      <alignment horizontal="left" vertical="top"/>
    </xf>
    <xf numFmtId="0" fontId="7" fillId="0" borderId="0" applyAlignment="1" pivotButton="0" quotePrefix="0" xfId="0">
      <alignment horizontal="left" vertical="top" indent="2"/>
    </xf>
    <xf numFmtId="1" fontId="21" fillId="0" borderId="0" applyAlignment="1" pivotButton="0" quotePrefix="0" xfId="0">
      <alignment horizontal="center" vertical="center"/>
    </xf>
    <xf numFmtId="0" fontId="20" fillId="0" borderId="0" applyAlignment="1" pivotButton="0" quotePrefix="0" xfId="0">
      <alignment horizontal="center" vertical="center" wrapText="1"/>
    </xf>
    <xf numFmtId="0" fontId="10" fillId="0" borderId="0" applyAlignment="1" pivotButton="0" quotePrefix="0" xfId="0">
      <alignment horizontal="general" vertical="bottom"/>
    </xf>
    <xf numFmtId="0" fontId="20" fillId="0" borderId="0" applyAlignment="1" pivotButton="0" quotePrefix="0" xfId="0">
      <alignment horizontal="right"/>
    </xf>
    <xf numFmtId="0" fontId="16" fillId="0" borderId="0" applyAlignment="1" pivotButton="0" quotePrefix="0" xfId="0">
      <alignment horizontal="general" vertical="bottom"/>
    </xf>
    <xf numFmtId="0" fontId="12" fillId="3" borderId="0" applyAlignment="1" pivotButton="0" quotePrefix="0" xfId="0">
      <alignment horizontal="general" vertical="bottom"/>
    </xf>
    <xf numFmtId="0" fontId="7" fillId="0" borderId="0" applyAlignment="1" pivotButton="0" quotePrefix="0" xfId="0">
      <alignment horizontal="general" vertical="top" wrapText="1"/>
    </xf>
    <xf numFmtId="0" fontId="22" fillId="0" borderId="0" applyAlignment="1" pivotButton="0" quotePrefix="0" xfId="0">
      <alignment horizontal="general" vertical="bottom"/>
    </xf>
    <xf numFmtId="0" fontId="18" fillId="6" borderId="0" pivotButton="0" quotePrefix="0" xfId="0"/>
    <xf numFmtId="0" fontId="20" fillId="0" borderId="0" applyAlignment="1" pivotButton="0" quotePrefix="0" xfId="0">
      <alignment horizontal="center" vertical="top"/>
    </xf>
    <xf numFmtId="0" fontId="20" fillId="0" borderId="0" applyAlignment="1" pivotButton="0" quotePrefix="0" xfId="0">
      <alignment horizontal="left" vertical="top" wrapText="1"/>
    </xf>
    <xf numFmtId="0" fontId="23" fillId="0" borderId="0" applyAlignment="1" pivotButton="0" quotePrefix="0" xfId="0">
      <alignment horizontal="left" vertical="center"/>
    </xf>
    <xf numFmtId="0" fontId="24" fillId="0" borderId="0" applyAlignment="1" pivotButton="0" quotePrefix="0" xfId="0">
      <alignment horizontal="left" vertical="top" wrapText="1"/>
    </xf>
    <xf numFmtId="0" fontId="25" fillId="0" borderId="0" applyAlignment="1" pivotButton="0" quotePrefix="0" xfId="0">
      <alignment horizontal="left" vertical="top" wrapText="1"/>
    </xf>
    <xf numFmtId="0" fontId="20" fillId="0" borderId="1" applyAlignment="1" applyProtection="1" pivotButton="0" quotePrefix="0" xfId="6">
      <alignment horizontal="center" vertical="center"/>
      <protection locked="0" hidden="0"/>
    </xf>
    <xf numFmtId="0" fontId="12" fillId="4" borderId="0" applyAlignment="1" pivotButton="0" quotePrefix="0" xfId="0">
      <alignment horizontal="left" vertical="top" wrapText="1"/>
    </xf>
    <xf numFmtId="0" fontId="20" fillId="4" borderId="0" applyAlignment="1" pivotButton="0" quotePrefix="0" xfId="0">
      <alignment horizontal="left" vertical="top" wrapText="1"/>
    </xf>
    <xf numFmtId="0" fontId="13" fillId="5" borderId="0" applyAlignment="1" pivotButton="0" quotePrefix="0" xfId="0">
      <alignment horizontal="left" vertical="top" wrapText="1"/>
    </xf>
    <xf numFmtId="0" fontId="20" fillId="5" borderId="0" applyAlignment="1" pivotButton="0" quotePrefix="0" xfId="0">
      <alignment horizontal="left" vertical="top" wrapText="1"/>
    </xf>
    <xf numFmtId="0" fontId="27" fillId="7" borderId="0" applyAlignment="1" pivotButton="0" quotePrefix="0" xfId="0">
      <alignment horizontal="left" vertical="center" wrapText="1" indent="1"/>
    </xf>
    <xf numFmtId="0" fontId="26" fillId="0" borderId="0" applyAlignment="1" pivotButton="0" quotePrefix="0" xfId="0">
      <alignment vertical="top" wrapText="1"/>
    </xf>
    <xf numFmtId="1" fontId="21" fillId="0" borderId="0" applyAlignment="1" pivotButton="0" quotePrefix="0" xfId="0">
      <alignment horizontal="center" vertical="center" shrinkToFit="1"/>
    </xf>
    <xf numFmtId="0" fontId="28" fillId="0" borderId="2" applyAlignment="1" pivotButton="0" quotePrefix="0" xfId="0">
      <alignment horizontal="general" vertical="bottom"/>
    </xf>
    <xf numFmtId="0" fontId="0" fillId="0" borderId="1" pivotButton="0" quotePrefix="0" xfId="0"/>
    <xf numFmtId="0" fontId="28" fillId="0" borderId="2" pivotButton="0" quotePrefix="0" xfId="0"/>
    <xf numFmtId="0" fontId="22" fillId="0" borderId="1" applyAlignment="1" pivotButton="0" quotePrefix="0" xfId="0">
      <alignment horizontal="general" vertical="bottom"/>
    </xf>
    <xf numFmtId="0" fontId="31" fillId="8" borderId="1" applyAlignment="1" pivotButton="0" quotePrefix="0" xfId="0">
      <alignment horizontal="left"/>
    </xf>
    <xf numFmtId="0" fontId="31" fillId="8" borderId="1" applyAlignment="1" pivotButton="0" quotePrefix="0" xfId="0">
      <alignment horizontal="center"/>
    </xf>
    <xf numFmtId="0" fontId="29" fillId="0" borderId="1" pivotButton="0" quotePrefix="0" xfId="0"/>
    <xf numFmtId="0" fontId="20" fillId="0" borderId="3" pivotButton="0" quotePrefix="0" xfId="0"/>
    <xf numFmtId="0" fontId="20" fillId="0" borderId="3" applyAlignment="1" pivotButton="0" quotePrefix="0" xfId="0">
      <alignment horizontal="center"/>
    </xf>
    <xf numFmtId="0" fontId="8" fillId="0" borderId="1" applyAlignment="1" pivotButton="0" quotePrefix="0" xfId="0">
      <alignment horizontal="general" vertical="bottom"/>
    </xf>
    <xf numFmtId="0" fontId="20" fillId="9" borderId="3" pivotButton="0" quotePrefix="0" xfId="0"/>
    <xf numFmtId="0" fontId="20" fillId="9" borderId="3" applyAlignment="1" pivotButton="0" quotePrefix="0" xfId="0">
      <alignment horizontal="center"/>
    </xf>
    <xf numFmtId="0" fontId="10" fillId="0" borderId="1" applyAlignment="1" pivotButton="0" quotePrefix="0" xfId="0">
      <alignment horizontal="general" vertical="bottom"/>
    </xf>
    <xf numFmtId="0" fontId="20" fillId="0" borderId="3" applyAlignment="1" pivotButton="0" quotePrefix="0" xfId="0">
      <alignment horizontal="general" vertical="bottom"/>
    </xf>
    <xf numFmtId="0" fontId="20" fillId="0" borderId="0" applyAlignment="1" pivotButton="0" quotePrefix="0" xfId="0">
      <alignment vertical="top" wrapText="1"/>
    </xf>
    <xf numFmtId="0" fontId="7" fillId="0" borderId="1" applyAlignment="1" pivotButton="0" quotePrefix="0" xfId="0">
      <alignment horizontal="center" vertical="center"/>
    </xf>
    <xf numFmtId="0" fontId="20" fillId="9" borderId="3" applyAlignment="1" pivotButton="0" quotePrefix="0" xfId="0">
      <alignment horizontal="center" vertical="center"/>
    </xf>
    <xf numFmtId="0" fontId="20" fillId="0" borderId="3" applyAlignment="1" pivotButton="0" quotePrefix="0" xfId="0">
      <alignment horizontal="center" vertical="center"/>
    </xf>
    <xf numFmtId="0" fontId="11" fillId="0" borderId="1" applyAlignment="1" pivotButton="0" quotePrefix="0" xfId="0">
      <alignment horizontal="general" vertical="bottom"/>
    </xf>
    <xf numFmtId="0" fontId="20" fillId="0" borderId="1" applyAlignment="1" pivotButton="0" quotePrefix="0" xfId="0">
      <alignment vertical="top" wrapText="1"/>
    </xf>
    <xf numFmtId="0" fontId="30" fillId="0" borderId="1" applyAlignment="1" pivotButton="0" quotePrefix="0" xfId="0">
      <alignment horizontal="general" vertical="bottom"/>
    </xf>
    <xf numFmtId="0" fontId="20" fillId="0" borderId="1" applyAlignment="1" pivotButton="0" quotePrefix="0" xfId="0">
      <alignment horizontal="center" vertical="center"/>
    </xf>
    <xf numFmtId="0" fontId="20" fillId="0" borderId="1" pivotButton="0" quotePrefix="0" xfId="0"/>
    <xf numFmtId="0" fontId="20" fillId="0" borderId="1" applyAlignment="1" pivotButton="0" quotePrefix="0" xfId="0">
      <alignment horizontal="left" vertical="top" wrapText="1"/>
    </xf>
    <xf numFmtId="0" fontId="4" fillId="0" borderId="2" applyAlignment="1" pivotButton="0" quotePrefix="0" xfId="0">
      <alignment horizontal="general" vertical="bottom"/>
    </xf>
    <xf numFmtId="0" fontId="23" fillId="0" borderId="2" applyAlignment="1" pivotButton="0" quotePrefix="0" xfId="0">
      <alignment horizontal="left" vertical="center"/>
    </xf>
    <xf numFmtId="0" fontId="25" fillId="0" borderId="2" applyAlignment="1" pivotButton="0" quotePrefix="0" xfId="0">
      <alignment horizontal="left" vertical="top" wrapText="1"/>
    </xf>
    <xf numFmtId="0" fontId="29" fillId="0" borderId="1" applyAlignment="1" pivotButton="0" quotePrefix="0" xfId="0">
      <alignment vertical="top" wrapText="1"/>
    </xf>
    <xf numFmtId="0" fontId="20" fillId="0" borderId="3" applyAlignment="1" pivotButton="0" quotePrefix="0" xfId="0">
      <alignment horizontal="left" vertical="center"/>
    </xf>
    <xf numFmtId="0" fontId="20" fillId="9" borderId="3" applyAlignment="1" pivotButton="0" quotePrefix="0" xfId="0">
      <alignment horizontal="left" vertical="center"/>
    </xf>
    <xf numFmtId="0" fontId="29" fillId="0" borderId="1" applyAlignment="1" pivotButton="0" quotePrefix="0" xfId="0">
      <alignment vertical="center"/>
    </xf>
    <xf numFmtId="0" fontId="28" fillId="0" borderId="1" applyAlignment="1" pivotButton="0" quotePrefix="0" xfId="0">
      <alignment horizontal="general" vertical="bottom"/>
    </xf>
    <xf numFmtId="0" fontId="20" fillId="0" borderId="1" applyAlignment="1" pivotButton="0" quotePrefix="0" xfId="0">
      <alignment vertical="center" wrapText="1"/>
    </xf>
    <xf numFmtId="0" fontId="28" fillId="0" borderId="2" applyAlignment="1" pivotButton="0" quotePrefix="0" xfId="0">
      <alignment horizontal="left" vertical="top" wrapText="1"/>
    </xf>
    <xf numFmtId="0" fontId="30" fillId="0" borderId="0" pivotButton="0" quotePrefix="0" xfId="0"/>
    <xf numFmtId="0" fontId="30" fillId="0" borderId="1" pivotButton="0" quotePrefix="0" xfId="0"/>
    <xf numFmtId="0" fontId="13" fillId="5" borderId="0" applyAlignment="1" pivotButton="0" quotePrefix="0" xfId="0">
      <alignment horizontal="left" vertical="center"/>
    </xf>
    <xf numFmtId="0" fontId="32" fillId="0" borderId="0" applyAlignment="1" pivotButton="0" quotePrefix="0" xfId="0">
      <alignment vertical="center" wrapText="1"/>
    </xf>
    <xf numFmtId="0" fontId="28" fillId="0" borderId="0" pivotButton="0" quotePrefix="0" xfId="0"/>
    <xf numFmtId="0" fontId="33" fillId="10" borderId="0" applyAlignment="1" pivotButton="0" quotePrefix="0" xfId="0">
      <alignment vertical="center" indent="1"/>
    </xf>
    <xf numFmtId="0" fontId="33" fillId="10" borderId="2" applyAlignment="1" pivotButton="0" quotePrefix="0" xfId="0">
      <alignment vertical="center" indent="1"/>
    </xf>
  </cellXfs>
  <cellStyles count="7">
    <cellStyle name="Normal" xfId="0" builtinId="0"/>
    <cellStyle name="Comma" xfId="1" builtinId="3"/>
    <cellStyle name="Comma [0]" xfId="2" builtinId="6"/>
    <cellStyle name="Currency" xfId="3" builtinId="4"/>
    <cellStyle name="Currency [0]" xfId="4" builtinId="7"/>
    <cellStyle name="Percent" xfId="5" builtinId="5"/>
    <cellStyle name="UnlockedResponseCell" xfId="6" hidden="0"/>
  </cellStyles>
  <dxfs count="16">
    <dxf>
      <fill>
        <patternFill patternType="solid">
          <fgColor rgb="FF1F2A44"/>
          <bgColor rgb="FF000000"/>
        </patternFill>
      </fill>
    </dxf>
    <dxf>
      <fill>
        <patternFill patternType="solid">
          <fgColor rgb="FF5A6B8C"/>
          <bgColor rgb="FF000000"/>
        </patternFill>
      </fill>
    </dxf>
    <dxf>
      <fill>
        <patternFill patternType="solid">
          <fgColor rgb="FF7E8FB0"/>
          <bgColor rgb="FF000000"/>
        </patternFill>
      </fill>
    </dxf>
    <dxf>
      <fill>
        <patternFill patternType="solid">
          <bgColor rgb="FF000000"/>
        </patternFill>
      </fill>
    </dxf>
    <dxf>
      <fill>
        <patternFill patternType="solid">
          <fgColor rgb="FFFFFFFF"/>
          <bgColor rgb="FF000000"/>
        </patternFill>
      </fill>
    </dxf>
    <dxf>
      <font>
        <name val="Arial"/>
        <color rgb="006B7280"/>
      </font>
      <fill>
        <patternFill patternType="solid">
          <fgColor rgb="00F3F4F6"/>
          <bgColor rgb="00F3F4F6"/>
        </patternFill>
      </fill>
    </dxf>
    <dxf>
      <font>
        <name val="Arial"/>
        <b val="1"/>
        <color rgb="00047857"/>
      </font>
      <fill>
        <patternFill patternType="solid">
          <fgColor rgb="00D1FAE5"/>
          <bgColor rgb="00D1FAE5"/>
        </patternFill>
      </fill>
    </dxf>
    <dxf>
      <font>
        <name val="Arial"/>
        <color rgb="00B45309"/>
      </font>
      <fill>
        <patternFill patternType="solid">
          <fgColor rgb="00FEF3C7"/>
          <bgColor rgb="00FEF3C7"/>
        </patternFill>
      </fill>
    </dxf>
    <dxf>
      <font>
        <name val="Arial"/>
        <b val="1"/>
        <color rgb="00FFFFFF"/>
      </font>
      <fill>
        <patternFill patternType="solid">
          <fgColor rgb="009CA3AF"/>
          <bgColor rgb="009CA3AF"/>
        </patternFill>
      </fill>
    </dxf>
    <dxf>
      <font>
        <name val="Arial"/>
        <b val="1"/>
        <color rgb="00FFFFFF"/>
      </font>
      <fill>
        <patternFill patternType="solid">
          <fgColor rgb="00EF4444"/>
          <bgColor rgb="00EF4444"/>
        </patternFill>
      </fill>
    </dxf>
    <dxf>
      <font>
        <name val="Arial"/>
        <b val="1"/>
        <color rgb="001F2A44"/>
      </font>
      <fill>
        <patternFill patternType="solid">
          <fgColor rgb="00F59E0B"/>
          <bgColor rgb="00F59E0B"/>
        </patternFill>
      </fill>
    </dxf>
    <dxf>
      <font>
        <name val="Arial"/>
        <b val="1"/>
        <color rgb="00FFFFFF"/>
      </font>
      <fill>
        <patternFill patternType="solid">
          <fgColor rgb="0010B981"/>
          <bgColor rgb="0010B981"/>
        </patternFill>
      </fill>
    </dxf>
    <dxf>
      <font>
        <name val="Arial"/>
        <color rgb="006B7280"/>
      </font>
    </dxf>
    <dxf>
      <font>
        <name val="Arial"/>
        <b val="1"/>
        <color rgb="00EF4444"/>
      </font>
    </dxf>
    <dxf>
      <font>
        <name val="Arial"/>
        <b val="1"/>
        <color rgb="00B45309"/>
      </font>
    </dxf>
    <dxf>
      <font>
        <name val="Arial"/>
        <b val="1"/>
        <color rgb="00047857"/>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280"/>
      <rgbColor rgb="FF7E8FB0"/>
      <rgbColor rgb="FF993366"/>
      <rgbColor rgb="FFF5F5F8"/>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563EB"/>
      <rgbColor rgb="FF33CCCC"/>
      <rgbColor rgb="FF99CC00"/>
      <rgbColor rgb="FFFFCC00"/>
      <rgbColor rgb="FFFF9900"/>
      <rgbColor rgb="FFFF6600"/>
      <rgbColor rgb="FF5A6B8C"/>
      <rgbColor rgb="FF9CA3AF"/>
      <rgbColor rgb="FF003366"/>
      <rgbColor rgb="FF339966"/>
      <rgbColor rgb="FF003300"/>
      <rgbColor rgb="FF333300"/>
      <rgbColor rgb="FF993300"/>
      <rgbColor rgb="FF993366"/>
      <rgbColor rgb="FF333399"/>
      <rgbColor rgb="FF1F2A44"/>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DARS LLC</author>
    <author>Unknown Author</author>
  </authors>
  <commentList>
    <comment ref="B2" authorId="0" shapeId="0">
      <text>
        <t>Maximum DoD SPRS score. Sum of all weighted controls assuming every control passes.</t>
      </text>
    </comment>
    <comment ref="B3" authorId="0" shapeId="0">
      <text>
        <t>Maximum total deduction if every weighted control fails: 51x1 + 14x3 + 44x5 = 313. Score range is 110 down to -203.</t>
      </text>
    </comment>
    <comment ref="B4" authorId="1" shapeId="0">
      <text>
        <t>DoD-published threshold below which a contractor is flagged as elevated risk in SPRS. Used by Dashboard color zones.</t>
      </text>
    </comment>
    <comment ref="B6" authorId="0" shapeId="0">
      <text>
        <t>Compares the SPRS weights in the control library against SPRS_MaxDeduction. Reads OK when they agree, DRIFT when they do not.</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filterMode="0">
    <outlinePr summaryBelow="1" summaryRight="1"/>
    <pageSetUpPr fitToPage="1"/>
  </sheetPr>
  <dimension ref="A2:G40"/>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7" customWidth="1" style="27" min="1" max="1"/>
    <col width="2.5" customWidth="1" style="27" min="2" max="2"/>
    <col width="37" customWidth="1" style="28" min="3" max="3"/>
    <col width="11" customWidth="1" style="27" min="4" max="4"/>
    <col width="11" customWidth="1" style="28" min="5" max="5"/>
    <col width="13" customWidth="1" style="28" min="6" max="6"/>
    <col hidden="1" width="9" customWidth="1" style="28" min="7" max="7"/>
  </cols>
  <sheetData>
    <row r="2" ht="21.75" customHeight="1" s="28">
      <c r="A2" s="29" t="inlineStr">
        <is>
          <t>DARS</t>
        </is>
      </c>
    </row>
    <row r="3" ht="15" customHeight="1" s="28">
      <c r="A3" s="30" t="inlineStr">
        <is>
          <t>We advise organizations on protecting their data. It would be hypocritical not to protect yours.</t>
        </is>
      </c>
    </row>
    <row r="5" ht="30" customHeight="1" s="28">
      <c r="A5" s="117" t="inlineStr">
        <is>
          <t>DARS Compass — CMMC Readiness Scan</t>
        </is>
      </c>
    </row>
    <row r="6" ht="15" customHeight="1" s="28">
      <c r="A6" s="32" t="inlineStr">
        <is>
          <t>Free diagnostic. Your data stays on your machine.</t>
        </is>
      </c>
    </row>
    <row r="7" ht="48" customHeight="1" s="28">
      <c r="A7" s="75" t="inlineStr">
        <is>
          <t>⚠  Open this file in desktop Excel only.  Google Drive, Excel Online, and other converters can produce scores that look plausible but are wrong.  Keep it on your machine.</t>
        </is>
      </c>
    </row>
    <row r="8" ht="17.25" customHeight="1" s="28">
      <c r="A8" s="33" t="inlineStr">
        <is>
          <t>How to use this tool</t>
        </is>
      </c>
    </row>
    <row r="9" ht="36" customHeight="1" s="28">
      <c r="A9" s="66" t="inlineStr">
        <is>
          <t>1.  Open the Questions tab.  This is where you'll answer one question for each NIST SP 800-171 control.</t>
        </is>
      </c>
    </row>
    <row r="10" ht="36" customHeight="1" s="28">
      <c r="A10" s="66" t="inlineStr">
        <is>
          <t>2.  Answer with Yes / Partial / Not Yet.  Use "Yes" only when you could produce evidence today; use "Partial" when some evidence exists but is incomplete; use "Not Yet" when it doesn't exist yet.</t>
        </is>
      </c>
    </row>
    <row r="11" ht="36" customHeight="1" s="28">
      <c r="A11" s="66" t="inlineStr">
        <is>
          <t>3.  Watch the score update on the Dashboard.  As you answer, the SPRS score and color band update to reflect your current posture.</t>
        </is>
      </c>
    </row>
    <row r="12" ht="36" customHeight="1" s="28">
      <c r="A12" s="66" t="inlineStr">
        <is>
          <t>4.  Use the built-in hints for each non-Yes answer.  The Hint column gives plain-English next steps you can turn into an internal worklist.</t>
        </is>
      </c>
    </row>
    <row r="13" ht="36" customHeight="1" s="28">
      <c r="A13" s="66" t="inlineStr">
        <is>
          <t>5.  Review the Gap Report when you're done.  The Gap Report summarizes failing controls and suggested fixes.  The file stays on your machine — nothing is uploaded anywhere.</t>
        </is>
      </c>
    </row>
    <row r="14" ht="36" customHeight="1" s="28">
      <c r="A14" s="66" t="inlineStr">
        <is>
          <t>6.  Don't sort or re-order the answer rows — the Gap Report depends on their order.</t>
        </is>
      </c>
    </row>
    <row r="15" ht="24" customHeight="1" s="28">
      <c r="A15" s="78" t="inlineStr">
        <is>
          <t>Your progress</t>
        </is>
      </c>
      <c r="B15" s="79" t="n"/>
      <c r="C15" s="80" t="inlineStr">
        <is>
          <t>Jump to a control family</t>
        </is>
      </c>
      <c r="D15" s="79" t="n"/>
      <c r="E15" s="79" t="n"/>
      <c r="F15" s="79" t="n"/>
      <c r="G15" s="79" t="n"/>
    </row>
    <row r="16" ht="15" customHeight="1" s="28">
      <c r="A16" s="81">
        <f>"Answered: " &amp; (COUNTIF(Response_Range,"Yes")+COUNTIF(Response_Range,"Partial")+COUNTIF(Response_Range,"Not Yet")) &amp; " of 113  —  " &amp; TEXT((COUNTIF(Response_Range,"Yes")+COUNTIF(Response_Range,"Partial")+COUNTIF(Response_Range,"Not Yet"))/113,"0%") &amp; " complete"</f>
        <v/>
      </c>
      <c r="B16" s="79" t="n"/>
      <c r="C16" s="82" t="inlineStr">
        <is>
          <t>Family</t>
        </is>
      </c>
      <c r="D16" s="83" t="inlineStr">
        <is>
          <t>Questions</t>
        </is>
      </c>
      <c r="E16" s="83" t="inlineStr">
        <is>
          <t>Answered</t>
        </is>
      </c>
      <c r="F16" s="83" t="inlineStr">
        <is>
          <t>Status</t>
        </is>
      </c>
      <c r="G16" s="79" t="n"/>
    </row>
    <row r="17" ht="16" customHeight="1" s="28">
      <c r="A17" s="108" t="inlineStr">
        <is>
          <t>Answer in any order — your place is kept when you save.</t>
        </is>
      </c>
      <c r="B17" s="79" t="n"/>
      <c r="C17" s="106">
        <f>HYPERLINK("#Questions!A2", "3.1 — Access Control")</f>
        <v/>
      </c>
      <c r="D17" s="95" t="n">
        <v>22</v>
      </c>
      <c r="E17" s="95">
        <f>COUNTIFS(Family_Code_Range, G17, Response_Range, "Yes")+COUNTIFS(Family_Code_Range, G17, Response_Range, "Partial")+COUNTIFS(Family_Code_Range, G17, Response_Range, "Not Yet")</f>
        <v/>
      </c>
      <c r="F17" s="95">
        <f>IF(E17=0, "Not started", IF(E17=D17, "Complete", E17&amp;"/"&amp;D17))</f>
        <v/>
      </c>
      <c r="G17" s="79" t="inlineStr">
        <is>
          <t>AC</t>
        </is>
      </c>
    </row>
    <row r="18" ht="16" customHeight="1" s="28">
      <c r="A18" s="87" t="n"/>
      <c r="B18" s="79" t="n"/>
      <c r="C18" s="107">
        <f>HYPERLINK("#Questions!A25", "3.2 — Awareness &amp; Training")</f>
        <v/>
      </c>
      <c r="D18" s="94" t="n">
        <v>3</v>
      </c>
      <c r="E18" s="94">
        <f>COUNTIFS(Family_Code_Range, G18, Response_Range, "Yes")+COUNTIFS(Family_Code_Range, G18, Response_Range, "Partial")+COUNTIFS(Family_Code_Range, G18, Response_Range, "Not Yet")</f>
        <v/>
      </c>
      <c r="F18" s="94">
        <f>IF(E18=0, "Not started", IF(E18=D18, "Complete", E18&amp;"/"&amp;D18))</f>
        <v/>
      </c>
      <c r="G18" s="79" t="inlineStr">
        <is>
          <t>AT</t>
        </is>
      </c>
    </row>
    <row r="19" ht="16" customHeight="1" s="28">
      <c r="A19" s="109" t="n"/>
      <c r="B19" s="90" t="n"/>
      <c r="C19" s="106">
        <f>HYPERLINK("#Questions!A29", "3.3 — Audit &amp; Accountability")</f>
        <v/>
      </c>
      <c r="D19" s="95" t="n">
        <v>9</v>
      </c>
      <c r="E19" s="95">
        <f>COUNTIFS(Family_Code_Range, G19, Response_Range, "Yes")+COUNTIFS(Family_Code_Range, G19, Response_Range, "Partial")+COUNTIFS(Family_Code_Range, G19, Response_Range, "Not Yet")</f>
        <v/>
      </c>
      <c r="F19" s="95">
        <f>IF(E19=0, "Not started", IF(E19=D19, "Complete", E19&amp;"/"&amp;D19))</f>
        <v/>
      </c>
      <c r="G19" s="79" t="inlineStr">
        <is>
          <t>AU</t>
        </is>
      </c>
    </row>
    <row r="20" ht="16" customHeight="1" s="28">
      <c r="A20" s="97" t="n"/>
      <c r="B20" s="93" t="n"/>
      <c r="C20" s="107">
        <f>HYPERLINK("#Questions!A39", "3.4 — Configuration Management")</f>
        <v/>
      </c>
      <c r="D20" s="94" t="n">
        <v>9</v>
      </c>
      <c r="E20" s="94">
        <f>COUNTIFS(Family_Code_Range, G20, Response_Range, "Yes")+COUNTIFS(Family_Code_Range, G20, Response_Range, "Partial")+COUNTIFS(Family_Code_Range, G20, Response_Range, "Not Yet")</f>
        <v/>
      </c>
      <c r="F20" s="94">
        <f>IF(E20=0, "Not started", IF(E20=D20, "Complete", E20&amp;"/"&amp;D20))</f>
        <v/>
      </c>
      <c r="G20" s="79" t="inlineStr">
        <is>
          <t>CM</t>
        </is>
      </c>
    </row>
    <row r="21" ht="16" customHeight="1" s="28">
      <c r="A21" s="97" t="n"/>
      <c r="B21" s="93" t="n"/>
      <c r="C21" s="106">
        <f>HYPERLINK("#Questions!A49", "3.5 — Identification &amp; Authentication")</f>
        <v/>
      </c>
      <c r="D21" s="95" t="n">
        <v>14</v>
      </c>
      <c r="E21" s="95">
        <f>COUNTIFS(Family_Code_Range, G21, Response_Range, "Yes")+COUNTIFS(Family_Code_Range, G21, Response_Range, "Partial")+COUNTIFS(Family_Code_Range, G21, Response_Range, "Not Yet")</f>
        <v/>
      </c>
      <c r="F21" s="95">
        <f>IF(E21=0, "Not started", IF(E21=D21, "Complete", E21&amp;"/"&amp;D21))</f>
        <v/>
      </c>
      <c r="G21" s="79" t="inlineStr">
        <is>
          <t>IA</t>
        </is>
      </c>
    </row>
    <row r="22" ht="16" customHeight="1" s="28">
      <c r="A22" s="97" t="n"/>
      <c r="B22" s="93" t="n"/>
      <c r="C22" s="107">
        <f>HYPERLINK("#Questions!A65", "3.6 — Incident Response")</f>
        <v/>
      </c>
      <c r="D22" s="94" t="n">
        <v>3</v>
      </c>
      <c r="E22" s="94">
        <f>COUNTIFS(Family_Code_Range, G22, Response_Range, "Yes")+COUNTIFS(Family_Code_Range, G22, Response_Range, "Partial")+COUNTIFS(Family_Code_Range, G22, Response_Range, "Not Yet")</f>
        <v/>
      </c>
      <c r="F22" s="94">
        <f>IF(E22=0, "Not started", IF(E22=D22, "Complete", E22&amp;"/"&amp;D22))</f>
        <v/>
      </c>
      <c r="G22" s="79" t="inlineStr">
        <is>
          <t>IR</t>
        </is>
      </c>
    </row>
    <row r="23" ht="16" customHeight="1" s="28">
      <c r="A23" s="96" t="n"/>
      <c r="B23" s="93" t="n"/>
      <c r="C23" s="106">
        <f>HYPERLINK("#Questions!A69", "3.7 — Maintenance")</f>
        <v/>
      </c>
      <c r="D23" s="95" t="n">
        <v>6</v>
      </c>
      <c r="E23" s="95">
        <f>COUNTIFS(Family_Code_Range, G23, Response_Range, "Yes")+COUNTIFS(Family_Code_Range, G23, Response_Range, "Partial")+COUNTIFS(Family_Code_Range, G23, Response_Range, "Not Yet")</f>
        <v/>
      </c>
      <c r="F23" s="95">
        <f>IF(E23=0, "Not started", IF(E23=D23, "Complete", E23&amp;"/"&amp;D23))</f>
        <v/>
      </c>
      <c r="G23" s="79" t="inlineStr">
        <is>
          <t>MA</t>
        </is>
      </c>
    </row>
    <row r="24" ht="16" customHeight="1" s="28">
      <c r="A24" s="109" t="n"/>
      <c r="B24" s="93" t="n"/>
      <c r="C24" s="107">
        <f>HYPERLINK("#Questions!A76", "3.8 — Media Protection")</f>
        <v/>
      </c>
      <c r="D24" s="94" t="n">
        <v>9</v>
      </c>
      <c r="E24" s="94">
        <f>COUNTIFS(Family_Code_Range, G24, Response_Range, "Yes")+COUNTIFS(Family_Code_Range, G24, Response_Range, "Partial")+COUNTIFS(Family_Code_Range, G24, Response_Range, "Not Yet")</f>
        <v/>
      </c>
      <c r="F24" s="94">
        <f>IF(E24=0, "Not started", IF(E24=D24, "Complete", E24&amp;"/"&amp;D24))</f>
        <v/>
      </c>
      <c r="G24" s="79" t="inlineStr">
        <is>
          <t>MP</t>
        </is>
      </c>
    </row>
    <row r="25" ht="16" customHeight="1" s="28">
      <c r="A25" s="97" t="n"/>
      <c r="B25" s="93" t="n"/>
      <c r="C25" s="106">
        <f>HYPERLINK("#Questions!A86", "3.9 — Personnel Security")</f>
        <v/>
      </c>
      <c r="D25" s="95" t="n">
        <v>2</v>
      </c>
      <c r="E25" s="95">
        <f>COUNTIFS(Family_Code_Range, G25, Response_Range, "Yes")+COUNTIFS(Family_Code_Range, G25, Response_Range, "Partial")+COUNTIFS(Family_Code_Range, G25, Response_Range, "Not Yet")</f>
        <v/>
      </c>
      <c r="F25" s="95">
        <f>IF(E25=0, "Not started", IF(E25=D25, "Complete", E25&amp;"/"&amp;D25))</f>
        <v/>
      </c>
      <c r="G25" s="79" t="inlineStr">
        <is>
          <t>PS</t>
        </is>
      </c>
    </row>
    <row r="26" ht="16" customHeight="1" s="28">
      <c r="A26" s="96" t="n"/>
      <c r="B26" s="93" t="n"/>
      <c r="C26" s="107">
        <f>HYPERLINK("#Questions!A89", "3.10 — Physical Protection")</f>
        <v/>
      </c>
      <c r="D26" s="94" t="n">
        <v>6</v>
      </c>
      <c r="E26" s="94">
        <f>COUNTIFS(Family_Code_Range, G26, Response_Range, "Yes")+COUNTIFS(Family_Code_Range, G26, Response_Range, "Partial")+COUNTIFS(Family_Code_Range, G26, Response_Range, "Not Yet")</f>
        <v/>
      </c>
      <c r="F26" s="94">
        <f>IF(E26=0, "Not started", IF(E26=D26, "Complete", E26&amp;"/"&amp;D26))</f>
        <v/>
      </c>
      <c r="G26" s="79" t="inlineStr">
        <is>
          <t>PE</t>
        </is>
      </c>
    </row>
    <row r="27" ht="16" customHeight="1" s="28">
      <c r="A27" s="98" t="n"/>
      <c r="B27" s="93" t="n"/>
      <c r="C27" s="106">
        <f>HYPERLINK("#Questions!A96", "3.11 — Risk Assessment")</f>
        <v/>
      </c>
      <c r="D27" s="95" t="n">
        <v>3</v>
      </c>
      <c r="E27" s="95">
        <f>COUNTIFS(Family_Code_Range, G27, Response_Range, "Yes")+COUNTIFS(Family_Code_Range, G27, Response_Range, "Partial")+COUNTIFS(Family_Code_Range, G27, Response_Range, "Not Yet")</f>
        <v/>
      </c>
      <c r="F27" s="95">
        <f>IF(E27=0, "Not started", IF(E27=D27, "Complete", E27&amp;"/"&amp;D27))</f>
        <v/>
      </c>
      <c r="G27" s="79" t="inlineStr">
        <is>
          <t>RA</t>
        </is>
      </c>
    </row>
    <row r="28" ht="16" customHeight="1" s="28">
      <c r="A28" s="96" t="n"/>
      <c r="B28" s="93" t="n"/>
      <c r="C28" s="107">
        <f>HYPERLINK("#Questions!A100", "3.12 — Security Assessment")</f>
        <v/>
      </c>
      <c r="D28" s="94" t="n">
        <v>4</v>
      </c>
      <c r="E28" s="94">
        <f>COUNTIFS(Family_Code_Range, G28, Response_Range, "Yes")+COUNTIFS(Family_Code_Range, G28, Response_Range, "Partial")+COUNTIFS(Family_Code_Range, G28, Response_Range, "Not Yet")</f>
        <v/>
      </c>
      <c r="F28" s="94">
        <f>IF(E28=0, "Not started", IF(E28=D28, "Complete", E28&amp;"/"&amp;D28))</f>
        <v/>
      </c>
      <c r="G28" s="79" t="inlineStr">
        <is>
          <t>CA</t>
        </is>
      </c>
    </row>
    <row r="29" ht="16" customHeight="1" s="28">
      <c r="A29" s="96" t="n"/>
      <c r="B29" s="93" t="n"/>
      <c r="C29" s="106">
        <f>HYPERLINK("#Questions!A105", "3.13 — System &amp; Communications Protection")</f>
        <v/>
      </c>
      <c r="D29" s="95" t="n">
        <v>16</v>
      </c>
      <c r="E29" s="95">
        <f>COUNTIFS(Family_Code_Range, G29, Response_Range, "Yes")+COUNTIFS(Family_Code_Range, G29, Response_Range, "Partial")+COUNTIFS(Family_Code_Range, G29, Response_Range, "Not Yet")</f>
        <v/>
      </c>
      <c r="F29" s="95">
        <f>IF(E29=0, "Not started", IF(E29=D29, "Complete", E29&amp;"/"&amp;D29))</f>
        <v/>
      </c>
      <c r="G29" s="79" t="inlineStr">
        <is>
          <t>SC</t>
        </is>
      </c>
    </row>
    <row r="30" ht="16" customHeight="1" s="28">
      <c r="A30" s="96" t="n"/>
      <c r="B30" s="93" t="n"/>
      <c r="C30" s="107">
        <f>HYPERLINK("#Questions!A122", "3.14 — System &amp; Information Integrity")</f>
        <v/>
      </c>
      <c r="D30" s="94" t="n">
        <v>7</v>
      </c>
      <c r="E30" s="94">
        <f>COUNTIFS(Family_Code_Range, G30, Response_Range, "Yes")+COUNTIFS(Family_Code_Range, G30, Response_Range, "Partial")+COUNTIFS(Family_Code_Range, G30, Response_Range, "Not Yet")</f>
        <v/>
      </c>
      <c r="F30" s="94">
        <f>IF(E30=0, "Not started", IF(E30=D30, "Complete", E30&amp;"/"&amp;D30))</f>
        <v/>
      </c>
      <c r="G30" s="79" t="inlineStr">
        <is>
          <t>SI</t>
        </is>
      </c>
    </row>
    <row r="31" ht="15" customHeight="1" s="28">
      <c r="A31" s="96" t="n"/>
      <c r="B31" s="93" t="n"/>
      <c r="C31" s="99" t="n"/>
      <c r="D31" s="99" t="n"/>
      <c r="E31" s="100" t="n"/>
      <c r="F31" s="79" t="n"/>
      <c r="G31" s="79" t="n"/>
    </row>
    <row r="32" ht="15" customHeight="1" s="28">
      <c r="A32" s="78" t="inlineStr">
        <is>
          <t>What you get from this tool</t>
        </is>
      </c>
      <c r="B32" s="93" t="n"/>
      <c r="C32" s="99" t="n"/>
      <c r="D32" s="99" t="n"/>
      <c r="E32" s="100" t="n"/>
      <c r="F32" s="79" t="n"/>
      <c r="G32" s="79" t="n"/>
    </row>
    <row r="33" ht="18" customHeight="1" s="28">
      <c r="A33" s="110" t="inlineStr">
        <is>
          <t>•  A self-scored SPRS estimate aligned with the DoD scoring methodology.</t>
        </is>
      </c>
      <c r="G33" s="79" t="n"/>
    </row>
    <row r="34" ht="18" customHeight="1" s="28">
      <c r="A34" s="110" t="inlineStr">
        <is>
          <t>•  A Gap Report listing which controls are failing and why.</t>
        </is>
      </c>
      <c r="G34" s="79" t="n"/>
    </row>
    <row r="35" ht="18" customHeight="1" s="28">
      <c r="A35" s="110" t="inlineStr">
        <is>
          <t>•  A snapshot you can use to plan remediation work or to brief leadership.</t>
        </is>
      </c>
      <c r="G35" s="79" t="n"/>
    </row>
    <row r="36" ht="24" customHeight="1" s="28">
      <c r="A36" s="101" t="n"/>
      <c r="B36" s="79" t="n"/>
      <c r="C36" s="79" t="n"/>
      <c r="D36" s="79" t="n"/>
      <c r="E36" s="79" t="n"/>
      <c r="F36" s="79" t="n"/>
      <c r="G36" s="79" t="n"/>
    </row>
    <row r="37" ht="24" customHeight="1" s="28">
      <c r="A37" s="111" t="inlineStr">
        <is>
          <t>Contact DARS</t>
        </is>
      </c>
      <c r="B37" s="79" t="n"/>
      <c r="C37" s="79" t="n"/>
      <c r="D37" s="79" t="n"/>
      <c r="E37" s="79" t="n"/>
      <c r="F37" s="79" t="n"/>
      <c r="G37" s="79" t="n"/>
    </row>
    <row r="38" ht="20" customHeight="1" s="28">
      <c r="A38" s="110" t="inlineStr">
        <is>
          <t>For questions about this workbook, or to turn these results into a formal SSP and POA&amp;M, email info@darsgrc.com.</t>
        </is>
      </c>
      <c r="G38" s="79" t="n"/>
    </row>
    <row r="39">
      <c r="A39" s="79" t="n"/>
      <c r="B39" s="79" t="n"/>
      <c r="C39" s="79" t="n"/>
      <c r="D39" s="79" t="n"/>
      <c r="E39" s="79" t="n"/>
      <c r="F39" s="79" t="n"/>
      <c r="G39" s="79" t="n"/>
    </row>
    <row r="40">
      <c r="A40" s="113" t="inlineStr">
        <is>
          <t>DARS — no shelfware, no false comfort.</t>
        </is>
      </c>
      <c r="B40" s="79" t="n"/>
      <c r="C40" s="79" t="n"/>
      <c r="D40" s="79" t="n"/>
      <c r="E40" s="79" t="n"/>
      <c r="F40" s="79" t="n"/>
      <c r="G40" s="79" t="n"/>
    </row>
  </sheetData>
  <sheetProtection selectLockedCells="0" selectUnlockedCells="0" sheet="1" objects="1" insertRows="1" insertHyperlinks="1" autoFilter="0" scenarios="1" formatColumns="0" deleteColumns="1" insertColumns="1" pivotTables="1" deleteRows="1" formatCells="0" formatRows="0" sort="1" password="EAC5"/>
  <mergeCells count="14">
    <mergeCell ref="A38:F38"/>
    <mergeCell ref="A33:F33"/>
    <mergeCell ref="A9:D9"/>
    <mergeCell ref="A6:D6"/>
    <mergeCell ref="A12:D12"/>
    <mergeCell ref="A5:F5"/>
    <mergeCell ref="A3:D3"/>
    <mergeCell ref="A7:D7"/>
    <mergeCell ref="A34:F34"/>
    <mergeCell ref="A35:F35"/>
    <mergeCell ref="A11:D11"/>
    <mergeCell ref="A10:D10"/>
    <mergeCell ref="A13:D13"/>
    <mergeCell ref="A14:D14"/>
  </mergeCells>
  <conditionalFormatting sqref="F17:F30">
    <cfRule type="expression" priority="1" dxfId="5" stopIfTrue="1">
      <formula>$F17="Not started"</formula>
    </cfRule>
    <cfRule type="expression" priority="2" dxfId="6" stopIfTrue="1">
      <formula>$F17="Complete"</formula>
    </cfRule>
    <cfRule type="expression" priority="3" dxfId="7" stopIfTrue="1">
      <formula>LEN($F17)&gt;0</formula>
    </cfRule>
  </conditionalFormatting>
  <printOptions horizontalCentered="1" verticalCentered="0" headings="0" gridLines="0" gridLinesSet="1"/>
  <pageMargins left="0.7" right="0.7" top="0.75" bottom="0.75" header="0.3" footer="0.3"/>
  <pageSetup orientation="portrait"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A1:R129"/>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2" customWidth="1" style="27" min="1" max="1"/>
    <col width="50" customWidth="1" style="27" min="2" max="2"/>
    <col width="110" customWidth="1" style="27" min="3" max="3"/>
    <col width="14" customWidth="1" style="27" min="4" max="4"/>
    <col width="8" customWidth="1" style="27" min="5" max="5"/>
    <col hidden="1" width="14" customWidth="1" style="27" min="6" max="6"/>
    <col hidden="1" width="6" customWidth="1" style="27" min="7" max="8"/>
    <col hidden="1" width="8" customWidth="1" style="27" min="9" max="9"/>
    <col hidden="1" width="6" customWidth="1" style="27" min="10" max="10"/>
    <col hidden="1" width="8" customWidth="1" style="27" min="11" max="13"/>
    <col hidden="1" width="8" customWidth="1" style="28" min="14" max="14"/>
    <col hidden="1" width="8" customWidth="1" style="28" min="15" max="15"/>
    <col hidden="1" width="8" customWidth="1" style="28" min="16" max="16"/>
    <col hidden="1" width="13" customWidth="1" style="28" min="18" max="18"/>
  </cols>
  <sheetData>
    <row r="1" ht="24" customHeight="1" s="28">
      <c r="A1" s="42" t="inlineStr">
        <is>
          <t>Control ID</t>
        </is>
      </c>
      <c r="B1" s="42" t="inlineStr">
        <is>
          <t>Title</t>
        </is>
      </c>
      <c r="C1" s="42" t="inlineStr">
        <is>
          <t>Question</t>
        </is>
      </c>
      <c r="D1" s="42" t="inlineStr">
        <is>
          <t>Your Answer</t>
        </is>
      </c>
      <c r="E1" s="42" t="inlineStr">
        <is>
          <t>Status</t>
        </is>
      </c>
      <c r="F1" s="42" t="n"/>
      <c r="G1" s="42" t="inlineStr">
        <is>
          <t>Is_Question_Row</t>
        </is>
      </c>
      <c r="H1" s="42" t="inlineStr">
        <is>
          <t>SPRS_Weight</t>
        </is>
      </c>
      <c r="I1" s="42" t="inlineStr">
        <is>
          <t>Sub_Row_Parent</t>
        </is>
      </c>
      <c r="J1" s="42" t="inlineStr">
        <is>
          <t>Pass_Flag</t>
        </is>
      </c>
      <c r="K1" s="42" t="inlineStr">
        <is>
          <t>Effective_Pass</t>
        </is>
      </c>
      <c r="L1" s="42" t="inlineStr">
        <is>
          <t>Deduction</t>
        </is>
      </c>
      <c r="M1" s="42" t="inlineStr">
        <is>
          <t>Hint_Lookup</t>
        </is>
      </c>
      <c r="N1" s="43" t="inlineStr">
        <is>
          <t>Family_Code</t>
        </is>
      </c>
      <c r="O1" s="43" t="inlineStr">
        <is>
          <t>Gap_Slot</t>
        </is>
      </c>
      <c r="P1" s="43" t="inlineStr">
        <is>
          <t>Sub_Parts_List</t>
        </is>
      </c>
      <c r="R1" s="27" t="inlineStr">
        <is>
          <t>Order_Check</t>
        </is>
      </c>
    </row>
    <row r="2" ht="21.75" customHeight="1" s="28">
      <c r="A2" s="44" t="inlineStr">
        <is>
          <t>═══  3.1 — Access Control  (22 questions)  ═══</t>
        </is>
      </c>
      <c r="B2" s="71" t="n"/>
      <c r="C2" s="44" t="n"/>
      <c r="D2" s="44" t="n"/>
      <c r="E2" s="45">
        <f>IF(G2=1, IF(D2="Yes", "✓", IF(D2="Partial", "◐", IF(D2="Not Yet", "✗", ""))), "")</f>
        <v/>
      </c>
      <c r="F2" s="72" t="n"/>
      <c r="G2" s="47">
        <f>IFERROR(IF(MATCH(A2, Lookups!A:A, 0)&gt;0, 1, 0), 0)</f>
        <v/>
      </c>
      <c r="H2" s="47">
        <f>IFERROR(N(INDEX(Lookups!G:G, MATCH(A2, Lookups!A:A, 0))), 0)</f>
        <v/>
      </c>
      <c r="I2" s="47">
        <f>IFERROR(INDEX(Lookups!J:J, MATCH(A2, Lookups!A:A, 0)), "")</f>
        <v/>
      </c>
      <c r="J2" s="47">
        <f>IF(D2="Yes", TRUE, IF(D2="Partial", FALSE, IF(D2="Not Yet", FALSE, "")))</f>
        <v/>
      </c>
      <c r="K2" s="47">
        <f>IF(G2=0, "", IF(I2="3.5.3", COUNTIFS(Sub_Row_Parent_Range, "3.5.3", Pass_Flag_Range, TRUE)=4, J2))</f>
        <v/>
      </c>
      <c r="L2" s="47">
        <f>IF(G2=1, IF(K2=TRUE, 0, H2), 0)</f>
        <v/>
      </c>
      <c r="M2" s="47">
        <f>IFERROR(INDEX(Lookups!H:H, MATCH(A2, Lookups!A:A, 0)), "")</f>
        <v/>
      </c>
      <c r="N2" s="47">
        <f>IFERROR(INDEX(Lookups!B:B, MATCH(A2, Lookups!A:A, 0)), "")</f>
        <v/>
      </c>
      <c r="O2" s="47">
        <f>IF(G2=1, IF(K2=TRUE, "", IF(A2="3.12.4", -1, IF(AND(I2="3.5.3", A2&lt;&gt;"3.5.3a"), "", ROW()))), "")</f>
        <v/>
      </c>
      <c r="R2" s="27">
        <f>IF(G2=1, IF(INDEX(Lookups!A:A, COUNTIF($G$2:$G2,1)+1)=A2, 0, 1), 0)</f>
        <v/>
      </c>
    </row>
    <row r="3" ht="60" customHeight="1" s="28">
      <c r="A3" s="48" t="inlineStr">
        <is>
          <t>3.1.1</t>
        </is>
      </c>
      <c r="B3" s="50">
        <f>INDEX(Lookups!D:D, MATCH(A3, Lookups!A:A, 0))</f>
        <v/>
      </c>
      <c r="C3" s="50">
        <f>INDEX(Lookups!F:F, MATCH(A3, Lookups!A:A, 0))</f>
        <v/>
      </c>
      <c r="D3" s="70" t="n"/>
      <c r="E3" s="51">
        <f>IF(G3=1, IF(D3="Yes", "✓", IF(D3="Partial", "◐", IF(D3="Not Yet", "✗", ""))), "")</f>
        <v/>
      </c>
      <c r="F3" s="66" t="n"/>
      <c r="G3" s="47">
        <f>IFERROR(IF(MATCH(A3, Lookups!A:A, 0)&gt;0, 1, 0), 0)</f>
        <v/>
      </c>
      <c r="H3" s="47">
        <f>IFERROR(N(INDEX(Lookups!G:G, MATCH(A3, Lookups!A:A, 0))), 0)</f>
        <v/>
      </c>
      <c r="I3" s="47">
        <f>IFERROR(INDEX(Lookups!J:J, MATCH(A3, Lookups!A:A, 0)), "")</f>
        <v/>
      </c>
      <c r="J3" s="47">
        <f>IF(D3="Yes", TRUE, IF(D3="Partial", FALSE, IF(D3="Not Yet", FALSE, "")))</f>
        <v/>
      </c>
      <c r="K3" s="47">
        <f>IF(G3=0, "", IF(I3="3.5.3", COUNTIFS(Sub_Row_Parent_Range, "3.5.3", Pass_Flag_Range, TRUE)=4, J3))</f>
        <v/>
      </c>
      <c r="L3" s="47">
        <f>IF(G3=1, IF(K3=TRUE, 0, H3), 0)</f>
        <v/>
      </c>
      <c r="M3" s="47">
        <f>IFERROR(INDEX(Lookups!H:H, MATCH(A3, Lookups!A:A, 0)), "")</f>
        <v/>
      </c>
      <c r="N3" s="47">
        <f>IFERROR(INDEX(Lookups!B:B, MATCH(A3, Lookups!A:A, 0)), "")</f>
        <v/>
      </c>
      <c r="O3" s="47">
        <f>IF(G3=1, IF(K3=TRUE, "", IF(A3="3.12.4", -1, IF(AND(I3="3.5.3", A3&lt;&gt;"3.5.3a"), "", ROW()))), "")</f>
        <v/>
      </c>
      <c r="R3" s="27">
        <f>IF(G3=1, IF(INDEX(Lookups!A:A, COUNTIF($G$2:$G3,1)+1)=A3, 0, 1), 0)</f>
        <v/>
      </c>
    </row>
    <row r="4" ht="72.5" customHeight="1" s="28">
      <c r="A4" s="48" t="inlineStr">
        <is>
          <t>3.1.2</t>
        </is>
      </c>
      <c r="B4" s="50">
        <f>INDEX(Lookups!D:D, MATCH(A4, Lookups!A:A, 0))</f>
        <v/>
      </c>
      <c r="C4" s="50">
        <f>INDEX(Lookups!F:F, MATCH(A4, Lookups!A:A, 0))</f>
        <v/>
      </c>
      <c r="D4" s="70" t="n"/>
      <c r="E4" s="51">
        <f>IF(G4=1, IF(D4="Yes", "✓", IF(D4="Partial", "◐", IF(D4="Not Yet", "✗", ""))), "")</f>
        <v/>
      </c>
      <c r="F4" s="66" t="n"/>
      <c r="G4" s="47">
        <f>IFERROR(IF(MATCH(A4, Lookups!A:A, 0)&gt;0, 1, 0), 0)</f>
        <v/>
      </c>
      <c r="H4" s="47">
        <f>IFERROR(N(INDEX(Lookups!G:G, MATCH(A4, Lookups!A:A, 0))), 0)</f>
        <v/>
      </c>
      <c r="I4" s="47">
        <f>IFERROR(INDEX(Lookups!J:J, MATCH(A4, Lookups!A:A, 0)), "")</f>
        <v/>
      </c>
      <c r="J4" s="47">
        <f>IF(D4="Yes", TRUE, IF(D4="Partial", FALSE, IF(D4="Not Yet", FALSE, "")))</f>
        <v/>
      </c>
      <c r="K4" s="47">
        <f>IF(G4=0, "", IF(I4="3.5.3", COUNTIFS(Sub_Row_Parent_Range, "3.5.3", Pass_Flag_Range, TRUE)=4, J4))</f>
        <v/>
      </c>
      <c r="L4" s="47">
        <f>IF(G4=1, IF(K4=TRUE, 0, H4), 0)</f>
        <v/>
      </c>
      <c r="M4" s="47">
        <f>IFERROR(INDEX(Lookups!H:H, MATCH(A4, Lookups!A:A, 0)), "")</f>
        <v/>
      </c>
      <c r="N4" s="47">
        <f>IFERROR(INDEX(Lookups!B:B, MATCH(A4, Lookups!A:A, 0)), "")</f>
        <v/>
      </c>
      <c r="O4" s="47">
        <f>IF(G4=1, IF(K4=TRUE, "", IF(A4="3.12.4", -1, IF(AND(I4="3.5.3", A4&lt;&gt;"3.5.3a"), "", ROW()))), "")</f>
        <v/>
      </c>
      <c r="R4" s="27">
        <f>IF(G4=1, IF(INDEX(Lookups!A:A, COUNTIF($G$2:$G4,1)+1)=A4, 0, 1), 0)</f>
        <v/>
      </c>
    </row>
    <row r="5" ht="60" customHeight="1" s="28">
      <c r="A5" s="48" t="inlineStr">
        <is>
          <t>3.1.3</t>
        </is>
      </c>
      <c r="B5" s="50">
        <f>INDEX(Lookups!D:D, MATCH(A5, Lookups!A:A, 0))</f>
        <v/>
      </c>
      <c r="C5" s="50">
        <f>INDEX(Lookups!F:F, MATCH(A5, Lookups!A:A, 0))</f>
        <v/>
      </c>
      <c r="D5" s="70" t="n"/>
      <c r="E5" s="51">
        <f>IF(G5=1, IF(D5="Yes", "✓", IF(D5="Partial", "◐", IF(D5="Not Yet", "✗", ""))), "")</f>
        <v/>
      </c>
      <c r="F5" s="66" t="n"/>
      <c r="G5" s="47">
        <f>IFERROR(IF(MATCH(A5, Lookups!A:A, 0)&gt;0, 1, 0), 0)</f>
        <v/>
      </c>
      <c r="H5" s="47">
        <f>IFERROR(N(INDEX(Lookups!G:G, MATCH(A5, Lookups!A:A, 0))), 0)</f>
        <v/>
      </c>
      <c r="I5" s="47">
        <f>IFERROR(INDEX(Lookups!J:J, MATCH(A5, Lookups!A:A, 0)), "")</f>
        <v/>
      </c>
      <c r="J5" s="47">
        <f>IF(D5="Yes", TRUE, IF(D5="Partial", FALSE, IF(D5="Not Yet", FALSE, "")))</f>
        <v/>
      </c>
      <c r="K5" s="47">
        <f>IF(G5=0, "", IF(I5="3.5.3", COUNTIFS(Sub_Row_Parent_Range, "3.5.3", Pass_Flag_Range, TRUE)=4, J5))</f>
        <v/>
      </c>
      <c r="L5" s="47">
        <f>IF(G5=1, IF(K5=TRUE, 0, H5), 0)</f>
        <v/>
      </c>
      <c r="M5" s="47">
        <f>IFERROR(INDEX(Lookups!H:H, MATCH(A5, Lookups!A:A, 0)), "")</f>
        <v/>
      </c>
      <c r="N5" s="47">
        <f>IFERROR(INDEX(Lookups!B:B, MATCH(A5, Lookups!A:A, 0)), "")</f>
        <v/>
      </c>
      <c r="O5" s="47">
        <f>IF(G5=1, IF(K5=TRUE, "", IF(A5="3.12.4", -1, IF(AND(I5="3.5.3", A5&lt;&gt;"3.5.3a"), "", ROW()))), "")</f>
        <v/>
      </c>
      <c r="R5" s="27">
        <f>IF(G5=1, IF(INDEX(Lookups!A:A, COUNTIF($G$2:$G5,1)+1)=A5, 0, 1), 0)</f>
        <v/>
      </c>
    </row>
    <row r="6" ht="101.5" customHeight="1" s="28">
      <c r="A6" s="48" t="inlineStr">
        <is>
          <t>3.1.4</t>
        </is>
      </c>
      <c r="B6" s="50">
        <f>INDEX(Lookups!D:D, MATCH(A6, Lookups!A:A, 0))</f>
        <v/>
      </c>
      <c r="C6" s="50">
        <f>INDEX(Lookups!F:F, MATCH(A6, Lookups!A:A, 0))</f>
        <v/>
      </c>
      <c r="D6" s="70" t="n"/>
      <c r="E6" s="51">
        <f>IF(G6=1, IF(D6="Yes", "✓", IF(D6="Partial", "◐", IF(D6="Not Yet", "✗", ""))), "")</f>
        <v/>
      </c>
      <c r="F6" s="66" t="n"/>
      <c r="G6" s="47">
        <f>IFERROR(IF(MATCH(A6, Lookups!A:A, 0)&gt;0, 1, 0), 0)</f>
        <v/>
      </c>
      <c r="H6" s="47">
        <f>IFERROR(N(INDEX(Lookups!G:G, MATCH(A6, Lookups!A:A, 0))), 0)</f>
        <v/>
      </c>
      <c r="I6" s="47">
        <f>IFERROR(INDEX(Lookups!J:J, MATCH(A6, Lookups!A:A, 0)), "")</f>
        <v/>
      </c>
      <c r="J6" s="47">
        <f>IF(D6="Yes", TRUE, IF(D6="Partial", FALSE, IF(D6="Not Yet", FALSE, "")))</f>
        <v/>
      </c>
      <c r="K6" s="47">
        <f>IF(G6=0, "", IF(I6="3.5.3", COUNTIFS(Sub_Row_Parent_Range, "3.5.3", Pass_Flag_Range, TRUE)=4, J6))</f>
        <v/>
      </c>
      <c r="L6" s="47">
        <f>IF(G6=1, IF(K6=TRUE, 0, H6), 0)</f>
        <v/>
      </c>
      <c r="M6" s="47">
        <f>IFERROR(INDEX(Lookups!H:H, MATCH(A6, Lookups!A:A, 0)), "")</f>
        <v/>
      </c>
      <c r="N6" s="47">
        <f>IFERROR(INDEX(Lookups!B:B, MATCH(A6, Lookups!A:A, 0)), "")</f>
        <v/>
      </c>
      <c r="O6" s="47">
        <f>IF(G6=1, IF(K6=TRUE, "", IF(A6="3.12.4", -1, IF(AND(I6="3.5.3", A6&lt;&gt;"3.5.3a"), "", ROW()))), "")</f>
        <v/>
      </c>
      <c r="R6" s="27">
        <f>IF(G6=1, IF(INDEX(Lookups!A:A, COUNTIF($G$2:$G6,1)+1)=A6, 0, 1), 0)</f>
        <v/>
      </c>
    </row>
    <row r="7" ht="60" customHeight="1" s="28">
      <c r="A7" s="48" t="inlineStr">
        <is>
          <t>3.1.5</t>
        </is>
      </c>
      <c r="B7" s="50">
        <f>INDEX(Lookups!D:D, MATCH(A7, Lookups!A:A, 0))</f>
        <v/>
      </c>
      <c r="C7" s="50">
        <f>INDEX(Lookups!F:F, MATCH(A7, Lookups!A:A, 0))</f>
        <v/>
      </c>
      <c r="D7" s="70" t="n"/>
      <c r="E7" s="51">
        <f>IF(G7=1, IF(D7="Yes", "✓", IF(D7="Partial", "◐", IF(D7="Not Yet", "✗", ""))), "")</f>
        <v/>
      </c>
      <c r="F7" s="66" t="n"/>
      <c r="G7" s="47">
        <f>IFERROR(IF(MATCH(A7, Lookups!A:A, 0)&gt;0, 1, 0), 0)</f>
        <v/>
      </c>
      <c r="H7" s="47">
        <f>IFERROR(N(INDEX(Lookups!G:G, MATCH(A7, Lookups!A:A, 0))), 0)</f>
        <v/>
      </c>
      <c r="I7" s="47">
        <f>IFERROR(INDEX(Lookups!J:J, MATCH(A7, Lookups!A:A, 0)), "")</f>
        <v/>
      </c>
      <c r="J7" s="47">
        <f>IF(D7="Yes", TRUE, IF(D7="Partial", FALSE, IF(D7="Not Yet", FALSE, "")))</f>
        <v/>
      </c>
      <c r="K7" s="47">
        <f>IF(G7=0, "", IF(I7="3.5.3", COUNTIFS(Sub_Row_Parent_Range, "3.5.3", Pass_Flag_Range, TRUE)=4, J7))</f>
        <v/>
      </c>
      <c r="L7" s="47">
        <f>IF(G7=1, IF(K7=TRUE, 0, H7), 0)</f>
        <v/>
      </c>
      <c r="M7" s="47">
        <f>IFERROR(INDEX(Lookups!H:H, MATCH(A7, Lookups!A:A, 0)), "")</f>
        <v/>
      </c>
      <c r="N7" s="47">
        <f>IFERROR(INDEX(Lookups!B:B, MATCH(A7, Lookups!A:A, 0)), "")</f>
        <v/>
      </c>
      <c r="O7" s="47">
        <f>IF(G7=1, IF(K7=TRUE, "", IF(A7="3.12.4", -1, IF(AND(I7="3.5.3", A7&lt;&gt;"3.5.3a"), "", ROW()))), "")</f>
        <v/>
      </c>
      <c r="R7" s="27">
        <f>IF(G7=1, IF(INDEX(Lookups!A:A, COUNTIF($G$2:$G7,1)+1)=A7, 0, 1), 0)</f>
        <v/>
      </c>
    </row>
    <row r="8" ht="60" customHeight="1" s="28">
      <c r="A8" s="48" t="inlineStr">
        <is>
          <t>3.1.6</t>
        </is>
      </c>
      <c r="B8" s="50">
        <f>INDEX(Lookups!D:D, MATCH(A8, Lookups!A:A, 0))</f>
        <v/>
      </c>
      <c r="C8" s="50">
        <f>INDEX(Lookups!F:F, MATCH(A8, Lookups!A:A, 0))</f>
        <v/>
      </c>
      <c r="D8" s="70" t="n"/>
      <c r="E8" s="51">
        <f>IF(G8=1, IF(D8="Yes", "✓", IF(D8="Partial", "◐", IF(D8="Not Yet", "✗", ""))), "")</f>
        <v/>
      </c>
      <c r="F8" s="66" t="n"/>
      <c r="G8" s="47">
        <f>IFERROR(IF(MATCH(A8, Lookups!A:A, 0)&gt;0, 1, 0), 0)</f>
        <v/>
      </c>
      <c r="H8" s="47">
        <f>IFERROR(N(INDEX(Lookups!G:G, MATCH(A8, Lookups!A:A, 0))), 0)</f>
        <v/>
      </c>
      <c r="I8" s="47">
        <f>IFERROR(INDEX(Lookups!J:J, MATCH(A8, Lookups!A:A, 0)), "")</f>
        <v/>
      </c>
      <c r="J8" s="47">
        <f>IF(D8="Yes", TRUE, IF(D8="Partial", FALSE, IF(D8="Not Yet", FALSE, "")))</f>
        <v/>
      </c>
      <c r="K8" s="47">
        <f>IF(G8=0, "", IF(I8="3.5.3", COUNTIFS(Sub_Row_Parent_Range, "3.5.3", Pass_Flag_Range, TRUE)=4, J8))</f>
        <v/>
      </c>
      <c r="L8" s="47">
        <f>IF(G8=1, IF(K8=TRUE, 0, H8), 0)</f>
        <v/>
      </c>
      <c r="M8" s="47">
        <f>IFERROR(INDEX(Lookups!H:H, MATCH(A8, Lookups!A:A, 0)), "")</f>
        <v/>
      </c>
      <c r="N8" s="47">
        <f>IFERROR(INDEX(Lookups!B:B, MATCH(A8, Lookups!A:A, 0)), "")</f>
        <v/>
      </c>
      <c r="O8" s="47">
        <f>IF(G8=1, IF(K8=TRUE, "", IF(A8="3.12.4", -1, IF(AND(I8="3.5.3", A8&lt;&gt;"3.5.3a"), "", ROW()))), "")</f>
        <v/>
      </c>
      <c r="R8" s="27">
        <f>IF(G8=1, IF(INDEX(Lookups!A:A, COUNTIF($G$2:$G8,1)+1)=A8, 0, 1), 0)</f>
        <v/>
      </c>
    </row>
    <row r="9" ht="60" customHeight="1" s="28">
      <c r="A9" s="48" t="inlineStr">
        <is>
          <t>3.1.7</t>
        </is>
      </c>
      <c r="B9" s="50">
        <f>INDEX(Lookups!D:D, MATCH(A9, Lookups!A:A, 0))</f>
        <v/>
      </c>
      <c r="C9" s="50">
        <f>INDEX(Lookups!F:F, MATCH(A9, Lookups!A:A, 0))</f>
        <v/>
      </c>
      <c r="D9" s="70" t="n"/>
      <c r="E9" s="51">
        <f>IF(G9=1, IF(D9="Yes", "✓", IF(D9="Partial", "◐", IF(D9="Not Yet", "✗", ""))), "")</f>
        <v/>
      </c>
      <c r="F9" s="66" t="n"/>
      <c r="G9" s="47">
        <f>IFERROR(IF(MATCH(A9, Lookups!A:A, 0)&gt;0, 1, 0), 0)</f>
        <v/>
      </c>
      <c r="H9" s="47">
        <f>IFERROR(N(INDEX(Lookups!G:G, MATCH(A9, Lookups!A:A, 0))), 0)</f>
        <v/>
      </c>
      <c r="I9" s="47">
        <f>IFERROR(INDEX(Lookups!J:J, MATCH(A9, Lookups!A:A, 0)), "")</f>
        <v/>
      </c>
      <c r="J9" s="47">
        <f>IF(D9="Yes", TRUE, IF(D9="Partial", FALSE, IF(D9="Not Yet", FALSE, "")))</f>
        <v/>
      </c>
      <c r="K9" s="47">
        <f>IF(G9=0, "", IF(I9="3.5.3", COUNTIFS(Sub_Row_Parent_Range, "3.5.3", Pass_Flag_Range, TRUE)=4, J9))</f>
        <v/>
      </c>
      <c r="L9" s="47">
        <f>IF(G9=1, IF(K9=TRUE, 0, H9), 0)</f>
        <v/>
      </c>
      <c r="M9" s="47">
        <f>IFERROR(INDEX(Lookups!H:H, MATCH(A9, Lookups!A:A, 0)), "")</f>
        <v/>
      </c>
      <c r="N9" s="47">
        <f>IFERROR(INDEX(Lookups!B:B, MATCH(A9, Lookups!A:A, 0)), "")</f>
        <v/>
      </c>
      <c r="O9" s="47">
        <f>IF(G9=1, IF(K9=TRUE, "", IF(A9="3.12.4", -1, IF(AND(I9="3.5.3", A9&lt;&gt;"3.5.3a"), "", ROW()))), "")</f>
        <v/>
      </c>
      <c r="R9" s="27">
        <f>IF(G9=1, IF(INDEX(Lookups!A:A, COUNTIF($G$2:$G9,1)+1)=A9, 0, 1), 0)</f>
        <v/>
      </c>
    </row>
    <row r="10" ht="60" customHeight="1" s="28">
      <c r="A10" s="48" t="inlineStr">
        <is>
          <t>3.1.8</t>
        </is>
      </c>
      <c r="B10" s="50">
        <f>INDEX(Lookups!D:D, MATCH(A10, Lookups!A:A, 0))</f>
        <v/>
      </c>
      <c r="C10" s="50">
        <f>INDEX(Lookups!F:F, MATCH(A10, Lookups!A:A, 0))</f>
        <v/>
      </c>
      <c r="D10" s="70" t="n"/>
      <c r="E10" s="51">
        <f>IF(G10=1, IF(D10="Yes", "✓", IF(D10="Partial", "◐", IF(D10="Not Yet", "✗", ""))), "")</f>
        <v/>
      </c>
      <c r="F10" s="66" t="n"/>
      <c r="G10" s="47">
        <f>IFERROR(IF(MATCH(A10, Lookups!A:A, 0)&gt;0, 1, 0), 0)</f>
        <v/>
      </c>
      <c r="H10" s="47">
        <f>IFERROR(N(INDEX(Lookups!G:G, MATCH(A10, Lookups!A:A, 0))), 0)</f>
        <v/>
      </c>
      <c r="I10" s="47">
        <f>IFERROR(INDEX(Lookups!J:J, MATCH(A10, Lookups!A:A, 0)), "")</f>
        <v/>
      </c>
      <c r="J10" s="47">
        <f>IF(D10="Yes", TRUE, IF(D10="Partial", FALSE, IF(D10="Not Yet", FALSE, "")))</f>
        <v/>
      </c>
      <c r="K10" s="47">
        <f>IF(G10=0, "", IF(I10="3.5.3", COUNTIFS(Sub_Row_Parent_Range, "3.5.3", Pass_Flag_Range, TRUE)=4, J10))</f>
        <v/>
      </c>
      <c r="L10" s="47">
        <f>IF(G10=1, IF(K10=TRUE, 0, H10), 0)</f>
        <v/>
      </c>
      <c r="M10" s="47">
        <f>IFERROR(INDEX(Lookups!H:H, MATCH(A10, Lookups!A:A, 0)), "")</f>
        <v/>
      </c>
      <c r="N10" s="47">
        <f>IFERROR(INDEX(Lookups!B:B, MATCH(A10, Lookups!A:A, 0)), "")</f>
        <v/>
      </c>
      <c r="O10" s="47">
        <f>IF(G10=1, IF(K10=TRUE, "", IF(A10="3.12.4", -1, IF(AND(I10="3.5.3", A10&lt;&gt;"3.5.3a"), "", ROW()))), "")</f>
        <v/>
      </c>
      <c r="R10" s="27">
        <f>IF(G10=1, IF(INDEX(Lookups!A:A, COUNTIF($G$2:$G10,1)+1)=A10, 0, 1), 0)</f>
        <v/>
      </c>
    </row>
    <row r="11" ht="60" customHeight="1" s="28">
      <c r="A11" s="48" t="inlineStr">
        <is>
          <t>3.1.9</t>
        </is>
      </c>
      <c r="B11" s="50">
        <f>INDEX(Lookups!D:D, MATCH(A11, Lookups!A:A, 0))</f>
        <v/>
      </c>
      <c r="C11" s="50">
        <f>INDEX(Lookups!F:F, MATCH(A11, Lookups!A:A, 0))</f>
        <v/>
      </c>
      <c r="D11" s="70" t="n"/>
      <c r="E11" s="51">
        <f>IF(G11=1, IF(D11="Yes", "✓", IF(D11="Partial", "◐", IF(D11="Not Yet", "✗", ""))), "")</f>
        <v/>
      </c>
      <c r="F11" s="66" t="n"/>
      <c r="G11" s="47">
        <f>IFERROR(IF(MATCH(A11, Lookups!A:A, 0)&gt;0, 1, 0), 0)</f>
        <v/>
      </c>
      <c r="H11" s="47">
        <f>IFERROR(N(INDEX(Lookups!G:G, MATCH(A11, Lookups!A:A, 0))), 0)</f>
        <v/>
      </c>
      <c r="I11" s="47">
        <f>IFERROR(INDEX(Lookups!J:J, MATCH(A11, Lookups!A:A, 0)), "")</f>
        <v/>
      </c>
      <c r="J11" s="47">
        <f>IF(D11="Yes", TRUE, IF(D11="Partial", FALSE, IF(D11="Not Yet", FALSE, "")))</f>
        <v/>
      </c>
      <c r="K11" s="47">
        <f>IF(G11=0, "", IF(I11="3.5.3", COUNTIFS(Sub_Row_Parent_Range, "3.5.3", Pass_Flag_Range, TRUE)=4, J11))</f>
        <v/>
      </c>
      <c r="L11" s="47">
        <f>IF(G11=1, IF(K11=TRUE, 0, H11), 0)</f>
        <v/>
      </c>
      <c r="M11" s="47">
        <f>IFERROR(INDEX(Lookups!H:H, MATCH(A11, Lookups!A:A, 0)), "")</f>
        <v/>
      </c>
      <c r="N11" s="47">
        <f>IFERROR(INDEX(Lookups!B:B, MATCH(A11, Lookups!A:A, 0)), "")</f>
        <v/>
      </c>
      <c r="O11" s="47">
        <f>IF(G11=1, IF(K11=TRUE, "", IF(A11="3.12.4", -1, IF(AND(I11="3.5.3", A11&lt;&gt;"3.5.3a"), "", ROW()))), "")</f>
        <v/>
      </c>
      <c r="R11" s="27">
        <f>IF(G11=1, IF(INDEX(Lookups!A:A, COUNTIF($G$2:$G11,1)+1)=A11, 0, 1), 0)</f>
        <v/>
      </c>
    </row>
    <row r="12" ht="60" customHeight="1" s="28">
      <c r="A12" s="48" t="inlineStr">
        <is>
          <t>3.1.10</t>
        </is>
      </c>
      <c r="B12" s="50">
        <f>INDEX(Lookups!D:D, MATCH(A12, Lookups!A:A, 0))</f>
        <v/>
      </c>
      <c r="C12" s="50">
        <f>INDEX(Lookups!F:F, MATCH(A12, Lookups!A:A, 0))</f>
        <v/>
      </c>
      <c r="D12" s="70" t="n"/>
      <c r="E12" s="51">
        <f>IF(G12=1, IF(D12="Yes", "✓", IF(D12="Partial", "◐", IF(D12="Not Yet", "✗", ""))), "")</f>
        <v/>
      </c>
      <c r="F12" s="66" t="n"/>
      <c r="G12" s="47">
        <f>IFERROR(IF(MATCH(A12, Lookups!A:A, 0)&gt;0, 1, 0), 0)</f>
        <v/>
      </c>
      <c r="H12" s="47">
        <f>IFERROR(N(INDEX(Lookups!G:G, MATCH(A12, Lookups!A:A, 0))), 0)</f>
        <v/>
      </c>
      <c r="I12" s="47">
        <f>IFERROR(INDEX(Lookups!J:J, MATCH(A12, Lookups!A:A, 0)), "")</f>
        <v/>
      </c>
      <c r="J12" s="47">
        <f>IF(D12="Yes", TRUE, IF(D12="Partial", FALSE, IF(D12="Not Yet", FALSE, "")))</f>
        <v/>
      </c>
      <c r="K12" s="47">
        <f>IF(G12=0, "", IF(I12="3.5.3", COUNTIFS(Sub_Row_Parent_Range, "3.5.3", Pass_Flag_Range, TRUE)=4, J12))</f>
        <v/>
      </c>
      <c r="L12" s="47">
        <f>IF(G12=1, IF(K12=TRUE, 0, H12), 0)</f>
        <v/>
      </c>
      <c r="M12" s="47">
        <f>IFERROR(INDEX(Lookups!H:H, MATCH(A12, Lookups!A:A, 0)), "")</f>
        <v/>
      </c>
      <c r="N12" s="47">
        <f>IFERROR(INDEX(Lookups!B:B, MATCH(A12, Lookups!A:A, 0)), "")</f>
        <v/>
      </c>
      <c r="O12" s="47">
        <f>IF(G12=1, IF(K12=TRUE, "", IF(A12="3.12.4", -1, IF(AND(I12="3.5.3", A12&lt;&gt;"3.5.3a"), "", ROW()))), "")</f>
        <v/>
      </c>
      <c r="R12" s="27">
        <f>IF(G12=1, IF(INDEX(Lookups!A:A, COUNTIF($G$2:$G12,1)+1)=A12, 0, 1), 0)</f>
        <v/>
      </c>
    </row>
    <row r="13" ht="60" customHeight="1" s="28">
      <c r="A13" s="48" t="inlineStr">
        <is>
          <t>3.1.11</t>
        </is>
      </c>
      <c r="B13" s="50">
        <f>INDEX(Lookups!D:D, MATCH(A13, Lookups!A:A, 0))</f>
        <v/>
      </c>
      <c r="C13" s="50">
        <f>INDEX(Lookups!F:F, MATCH(A13, Lookups!A:A, 0))</f>
        <v/>
      </c>
      <c r="D13" s="70" t="n"/>
      <c r="E13" s="51">
        <f>IF(G13=1, IF(D13="Yes", "✓", IF(D13="Partial", "◐", IF(D13="Not Yet", "✗", ""))), "")</f>
        <v/>
      </c>
      <c r="F13" s="66" t="n"/>
      <c r="G13" s="47">
        <f>IFERROR(IF(MATCH(A13, Lookups!A:A, 0)&gt;0, 1, 0), 0)</f>
        <v/>
      </c>
      <c r="H13" s="47">
        <f>IFERROR(N(INDEX(Lookups!G:G, MATCH(A13, Lookups!A:A, 0))), 0)</f>
        <v/>
      </c>
      <c r="I13" s="47">
        <f>IFERROR(INDEX(Lookups!J:J, MATCH(A13, Lookups!A:A, 0)), "")</f>
        <v/>
      </c>
      <c r="J13" s="47">
        <f>IF(D13="Yes", TRUE, IF(D13="Partial", FALSE, IF(D13="Not Yet", FALSE, "")))</f>
        <v/>
      </c>
      <c r="K13" s="47">
        <f>IF(G13=0, "", IF(I13="3.5.3", COUNTIFS(Sub_Row_Parent_Range, "3.5.3", Pass_Flag_Range, TRUE)=4, J13))</f>
        <v/>
      </c>
      <c r="L13" s="47">
        <f>IF(G13=1, IF(K13=TRUE, 0, H13), 0)</f>
        <v/>
      </c>
      <c r="M13" s="47">
        <f>IFERROR(INDEX(Lookups!H:H, MATCH(A13, Lookups!A:A, 0)), "")</f>
        <v/>
      </c>
      <c r="N13" s="47">
        <f>IFERROR(INDEX(Lookups!B:B, MATCH(A13, Lookups!A:A, 0)), "")</f>
        <v/>
      </c>
      <c r="O13" s="47">
        <f>IF(G13=1, IF(K13=TRUE, "", IF(A13="3.12.4", -1, IF(AND(I13="3.5.3", A13&lt;&gt;"3.5.3a"), "", ROW()))), "")</f>
        <v/>
      </c>
      <c r="R13" s="27">
        <f>IF(G13=1, IF(INDEX(Lookups!A:A, COUNTIF($G$2:$G13,1)+1)=A13, 0, 1), 0)</f>
        <v/>
      </c>
    </row>
    <row r="14" ht="60" customHeight="1" s="28">
      <c r="A14" s="48" t="inlineStr">
        <is>
          <t>3.1.12</t>
        </is>
      </c>
      <c r="B14" s="50">
        <f>INDEX(Lookups!D:D, MATCH(A14, Lookups!A:A, 0))</f>
        <v/>
      </c>
      <c r="C14" s="50">
        <f>INDEX(Lookups!F:F, MATCH(A14, Lookups!A:A, 0))</f>
        <v/>
      </c>
      <c r="D14" s="70" t="n"/>
      <c r="E14" s="51">
        <f>IF(G14=1, IF(D14="Yes", "✓", IF(D14="Partial", "◐", IF(D14="Not Yet", "✗", ""))), "")</f>
        <v/>
      </c>
      <c r="F14" s="66" t="n"/>
      <c r="G14" s="47">
        <f>IFERROR(IF(MATCH(A14, Lookups!A:A, 0)&gt;0, 1, 0), 0)</f>
        <v/>
      </c>
      <c r="H14" s="47">
        <f>IFERROR(N(INDEX(Lookups!G:G, MATCH(A14, Lookups!A:A, 0))), 0)</f>
        <v/>
      </c>
      <c r="I14" s="47">
        <f>IFERROR(INDEX(Lookups!J:J, MATCH(A14, Lookups!A:A, 0)), "")</f>
        <v/>
      </c>
      <c r="J14" s="47">
        <f>IF(D14="Yes", TRUE, IF(D14="Partial", FALSE, IF(D14="Not Yet", FALSE, "")))</f>
        <v/>
      </c>
      <c r="K14" s="47">
        <f>IF(G14=0, "", IF(I14="3.5.3", COUNTIFS(Sub_Row_Parent_Range, "3.5.3", Pass_Flag_Range, TRUE)=4, J14))</f>
        <v/>
      </c>
      <c r="L14" s="47">
        <f>IF(G14=1, IF(K14=TRUE, 0, H14), 0)</f>
        <v/>
      </c>
      <c r="M14" s="47">
        <f>IFERROR(INDEX(Lookups!H:H, MATCH(A14, Lookups!A:A, 0)), "")</f>
        <v/>
      </c>
      <c r="N14" s="47">
        <f>IFERROR(INDEX(Lookups!B:B, MATCH(A14, Lookups!A:A, 0)), "")</f>
        <v/>
      </c>
      <c r="O14" s="47">
        <f>IF(G14=1, IF(K14=TRUE, "", IF(A14="3.12.4", -1, IF(AND(I14="3.5.3", A14&lt;&gt;"3.5.3a"), "", ROW()))), "")</f>
        <v/>
      </c>
      <c r="R14" s="27">
        <f>IF(G14=1, IF(INDEX(Lookups!A:A, COUNTIF($G$2:$G14,1)+1)=A14, 0, 1), 0)</f>
        <v/>
      </c>
    </row>
    <row r="15" ht="60" customHeight="1" s="28">
      <c r="A15" s="48" t="inlineStr">
        <is>
          <t>3.1.13</t>
        </is>
      </c>
      <c r="B15" s="50">
        <f>INDEX(Lookups!D:D, MATCH(A15, Lookups!A:A, 0))</f>
        <v/>
      </c>
      <c r="C15" s="50">
        <f>INDEX(Lookups!F:F, MATCH(A15, Lookups!A:A, 0))</f>
        <v/>
      </c>
      <c r="D15" s="70" t="n"/>
      <c r="E15" s="51">
        <f>IF(G15=1, IF(D15="Yes", "✓", IF(D15="Partial", "◐", IF(D15="Not Yet", "✗", ""))), "")</f>
        <v/>
      </c>
      <c r="F15" s="66" t="n"/>
      <c r="G15" s="47">
        <f>IFERROR(IF(MATCH(A15, Lookups!A:A, 0)&gt;0, 1, 0), 0)</f>
        <v/>
      </c>
      <c r="H15" s="47">
        <f>IFERROR(N(INDEX(Lookups!G:G, MATCH(A15, Lookups!A:A, 0))), 0)</f>
        <v/>
      </c>
      <c r="I15" s="47">
        <f>IFERROR(INDEX(Lookups!J:J, MATCH(A15, Lookups!A:A, 0)), "")</f>
        <v/>
      </c>
      <c r="J15" s="47">
        <f>IF(D15="Yes", TRUE, IF(D15="Partial", FALSE, IF(D15="Not Yet", FALSE, "")))</f>
        <v/>
      </c>
      <c r="K15" s="47">
        <f>IF(G15=0, "", IF(I15="3.5.3", COUNTIFS(Sub_Row_Parent_Range, "3.5.3", Pass_Flag_Range, TRUE)=4, J15))</f>
        <v/>
      </c>
      <c r="L15" s="47">
        <f>IF(G15=1, IF(K15=TRUE, 0, H15), 0)</f>
        <v/>
      </c>
      <c r="M15" s="47">
        <f>IFERROR(INDEX(Lookups!H:H, MATCH(A15, Lookups!A:A, 0)), "")</f>
        <v/>
      </c>
      <c r="N15" s="47">
        <f>IFERROR(INDEX(Lookups!B:B, MATCH(A15, Lookups!A:A, 0)), "")</f>
        <v/>
      </c>
      <c r="O15" s="47">
        <f>IF(G15=1, IF(K15=TRUE, "", IF(A15="3.12.4", -1, IF(AND(I15="3.5.3", A15&lt;&gt;"3.5.3a"), "", ROW()))), "")</f>
        <v/>
      </c>
      <c r="R15" s="27">
        <f>IF(G15=1, IF(INDEX(Lookups!A:A, COUNTIF($G$2:$G15,1)+1)=A15, 0, 1), 0)</f>
        <v/>
      </c>
    </row>
    <row r="16" ht="60" customHeight="1" s="28">
      <c r="A16" s="48" t="inlineStr">
        <is>
          <t>3.1.14</t>
        </is>
      </c>
      <c r="B16" s="50">
        <f>INDEX(Lookups!D:D, MATCH(A16, Lookups!A:A, 0))</f>
        <v/>
      </c>
      <c r="C16" s="50">
        <f>INDEX(Lookups!F:F, MATCH(A16, Lookups!A:A, 0))</f>
        <v/>
      </c>
      <c r="D16" s="70" t="n"/>
      <c r="E16" s="51">
        <f>IF(G16=1, IF(D16="Yes", "✓", IF(D16="Partial", "◐", IF(D16="Not Yet", "✗", ""))), "")</f>
        <v/>
      </c>
      <c r="F16" s="66" t="n"/>
      <c r="G16" s="47">
        <f>IFERROR(IF(MATCH(A16, Lookups!A:A, 0)&gt;0, 1, 0), 0)</f>
        <v/>
      </c>
      <c r="H16" s="47">
        <f>IFERROR(N(INDEX(Lookups!G:G, MATCH(A16, Lookups!A:A, 0))), 0)</f>
        <v/>
      </c>
      <c r="I16" s="47">
        <f>IFERROR(INDEX(Lookups!J:J, MATCH(A16, Lookups!A:A, 0)), "")</f>
        <v/>
      </c>
      <c r="J16" s="47">
        <f>IF(D16="Yes", TRUE, IF(D16="Partial", FALSE, IF(D16="Not Yet", FALSE, "")))</f>
        <v/>
      </c>
      <c r="K16" s="47">
        <f>IF(G16=0, "", IF(I16="3.5.3", COUNTIFS(Sub_Row_Parent_Range, "3.5.3", Pass_Flag_Range, TRUE)=4, J16))</f>
        <v/>
      </c>
      <c r="L16" s="47">
        <f>IF(G16=1, IF(K16=TRUE, 0, H16), 0)</f>
        <v/>
      </c>
      <c r="M16" s="47">
        <f>IFERROR(INDEX(Lookups!H:H, MATCH(A16, Lookups!A:A, 0)), "")</f>
        <v/>
      </c>
      <c r="N16" s="47">
        <f>IFERROR(INDEX(Lookups!B:B, MATCH(A16, Lookups!A:A, 0)), "")</f>
        <v/>
      </c>
      <c r="O16" s="47">
        <f>IF(G16=1, IF(K16=TRUE, "", IF(A16="3.12.4", -1, IF(AND(I16="3.5.3", A16&lt;&gt;"3.5.3a"), "", ROW()))), "")</f>
        <v/>
      </c>
      <c r="R16" s="27">
        <f>IF(G16=1, IF(INDEX(Lookups!A:A, COUNTIF($G$2:$G16,1)+1)=A16, 0, 1), 0)</f>
        <v/>
      </c>
    </row>
    <row r="17" ht="60" customHeight="1" s="28">
      <c r="A17" s="48" t="inlineStr">
        <is>
          <t>3.1.15</t>
        </is>
      </c>
      <c r="B17" s="50">
        <f>INDEX(Lookups!D:D, MATCH(A17, Lookups!A:A, 0))</f>
        <v/>
      </c>
      <c r="C17" s="50">
        <f>INDEX(Lookups!F:F, MATCH(A17, Lookups!A:A, 0))</f>
        <v/>
      </c>
      <c r="D17" s="70" t="n"/>
      <c r="E17" s="51">
        <f>IF(G17=1, IF(D17="Yes", "✓", IF(D17="Partial", "◐", IF(D17="Not Yet", "✗", ""))), "")</f>
        <v/>
      </c>
      <c r="F17" s="66" t="n"/>
      <c r="G17" s="47">
        <f>IFERROR(IF(MATCH(A17, Lookups!A:A, 0)&gt;0, 1, 0), 0)</f>
        <v/>
      </c>
      <c r="H17" s="47">
        <f>IFERROR(N(INDEX(Lookups!G:G, MATCH(A17, Lookups!A:A, 0))), 0)</f>
        <v/>
      </c>
      <c r="I17" s="47">
        <f>IFERROR(INDEX(Lookups!J:J, MATCH(A17, Lookups!A:A, 0)), "")</f>
        <v/>
      </c>
      <c r="J17" s="47">
        <f>IF(D17="Yes", TRUE, IF(D17="Partial", FALSE, IF(D17="Not Yet", FALSE, "")))</f>
        <v/>
      </c>
      <c r="K17" s="47">
        <f>IF(G17=0, "", IF(I17="3.5.3", COUNTIFS(Sub_Row_Parent_Range, "3.5.3", Pass_Flag_Range, TRUE)=4, J17))</f>
        <v/>
      </c>
      <c r="L17" s="47">
        <f>IF(G17=1, IF(K17=TRUE, 0, H17), 0)</f>
        <v/>
      </c>
      <c r="M17" s="47">
        <f>IFERROR(INDEX(Lookups!H:H, MATCH(A17, Lookups!A:A, 0)), "")</f>
        <v/>
      </c>
      <c r="N17" s="47">
        <f>IFERROR(INDEX(Lookups!B:B, MATCH(A17, Lookups!A:A, 0)), "")</f>
        <v/>
      </c>
      <c r="O17" s="47">
        <f>IF(G17=1, IF(K17=TRUE, "", IF(A17="3.12.4", -1, IF(AND(I17="3.5.3", A17&lt;&gt;"3.5.3a"), "", ROW()))), "")</f>
        <v/>
      </c>
      <c r="R17" s="27">
        <f>IF(G17=1, IF(INDEX(Lookups!A:A, COUNTIF($G$2:$G17,1)+1)=A17, 0, 1), 0)</f>
        <v/>
      </c>
    </row>
    <row r="18" ht="60" customHeight="1" s="28">
      <c r="A18" s="48" t="inlineStr">
        <is>
          <t>3.1.16</t>
        </is>
      </c>
      <c r="B18" s="50">
        <f>INDEX(Lookups!D:D, MATCH(A18, Lookups!A:A, 0))</f>
        <v/>
      </c>
      <c r="C18" s="50">
        <f>INDEX(Lookups!F:F, MATCH(A18, Lookups!A:A, 0))</f>
        <v/>
      </c>
      <c r="D18" s="70" t="n"/>
      <c r="E18" s="51">
        <f>IF(G18=1, IF(D18="Yes", "✓", IF(D18="Partial", "◐", IF(D18="Not Yet", "✗", ""))), "")</f>
        <v/>
      </c>
      <c r="F18" s="66" t="n"/>
      <c r="G18" s="47">
        <f>IFERROR(IF(MATCH(A18, Lookups!A:A, 0)&gt;0, 1, 0), 0)</f>
        <v/>
      </c>
      <c r="H18" s="47">
        <f>IFERROR(N(INDEX(Lookups!G:G, MATCH(A18, Lookups!A:A, 0))), 0)</f>
        <v/>
      </c>
      <c r="I18" s="47">
        <f>IFERROR(INDEX(Lookups!J:J, MATCH(A18, Lookups!A:A, 0)), "")</f>
        <v/>
      </c>
      <c r="J18" s="47">
        <f>IF(D18="Yes", TRUE, IF(D18="Partial", FALSE, IF(D18="Not Yet", FALSE, "")))</f>
        <v/>
      </c>
      <c r="K18" s="47">
        <f>IF(G18=0, "", IF(I18="3.5.3", COUNTIFS(Sub_Row_Parent_Range, "3.5.3", Pass_Flag_Range, TRUE)=4, J18))</f>
        <v/>
      </c>
      <c r="L18" s="47">
        <f>IF(G18=1, IF(K18=TRUE, 0, H18), 0)</f>
        <v/>
      </c>
      <c r="M18" s="47">
        <f>IFERROR(INDEX(Lookups!H:H, MATCH(A18, Lookups!A:A, 0)), "")</f>
        <v/>
      </c>
      <c r="N18" s="47">
        <f>IFERROR(INDEX(Lookups!B:B, MATCH(A18, Lookups!A:A, 0)), "")</f>
        <v/>
      </c>
      <c r="O18" s="47">
        <f>IF(G18=1, IF(K18=TRUE, "", IF(A18="3.12.4", -1, IF(AND(I18="3.5.3", A18&lt;&gt;"3.5.3a"), "", ROW()))), "")</f>
        <v/>
      </c>
      <c r="R18" s="27">
        <f>IF(G18=1, IF(INDEX(Lookups!A:A, COUNTIF($G$2:$G18,1)+1)=A18, 0, 1), 0)</f>
        <v/>
      </c>
    </row>
    <row r="19" ht="60" customHeight="1" s="28">
      <c r="A19" s="48" t="inlineStr">
        <is>
          <t>3.1.17</t>
        </is>
      </c>
      <c r="B19" s="50">
        <f>INDEX(Lookups!D:D, MATCH(A19, Lookups!A:A, 0))</f>
        <v/>
      </c>
      <c r="C19" s="50">
        <f>INDEX(Lookups!F:F, MATCH(A19, Lookups!A:A, 0))</f>
        <v/>
      </c>
      <c r="D19" s="70" t="n"/>
      <c r="E19" s="51">
        <f>IF(G19=1, IF(D19="Yes", "✓", IF(D19="Partial", "◐", IF(D19="Not Yet", "✗", ""))), "")</f>
        <v/>
      </c>
      <c r="F19" s="66" t="n"/>
      <c r="G19" s="47">
        <f>IFERROR(IF(MATCH(A19, Lookups!A:A, 0)&gt;0, 1, 0), 0)</f>
        <v/>
      </c>
      <c r="H19" s="47">
        <f>IFERROR(N(INDEX(Lookups!G:G, MATCH(A19, Lookups!A:A, 0))), 0)</f>
        <v/>
      </c>
      <c r="I19" s="47">
        <f>IFERROR(INDEX(Lookups!J:J, MATCH(A19, Lookups!A:A, 0)), "")</f>
        <v/>
      </c>
      <c r="J19" s="47">
        <f>IF(D19="Yes", TRUE, IF(D19="Partial", FALSE, IF(D19="Not Yet", FALSE, "")))</f>
        <v/>
      </c>
      <c r="K19" s="47">
        <f>IF(G19=0, "", IF(I19="3.5.3", COUNTIFS(Sub_Row_Parent_Range, "3.5.3", Pass_Flag_Range, TRUE)=4, J19))</f>
        <v/>
      </c>
      <c r="L19" s="47">
        <f>IF(G19=1, IF(K19=TRUE, 0, H19), 0)</f>
        <v/>
      </c>
      <c r="M19" s="47">
        <f>IFERROR(INDEX(Lookups!H:H, MATCH(A19, Lookups!A:A, 0)), "")</f>
        <v/>
      </c>
      <c r="N19" s="47">
        <f>IFERROR(INDEX(Lookups!B:B, MATCH(A19, Lookups!A:A, 0)), "")</f>
        <v/>
      </c>
      <c r="O19" s="47">
        <f>IF(G19=1, IF(K19=TRUE, "", IF(A19="3.12.4", -1, IF(AND(I19="3.5.3", A19&lt;&gt;"3.5.3a"), "", ROW()))), "")</f>
        <v/>
      </c>
      <c r="R19" s="27">
        <f>IF(G19=1, IF(INDEX(Lookups!A:A, COUNTIF($G$2:$G19,1)+1)=A19, 0, 1), 0)</f>
        <v/>
      </c>
    </row>
    <row r="20" ht="60" customHeight="1" s="28">
      <c r="A20" s="48" t="inlineStr">
        <is>
          <t>3.1.18</t>
        </is>
      </c>
      <c r="B20" s="50">
        <f>INDEX(Lookups!D:D, MATCH(A20, Lookups!A:A, 0))</f>
        <v/>
      </c>
      <c r="C20" s="50">
        <f>INDEX(Lookups!F:F, MATCH(A20, Lookups!A:A, 0))</f>
        <v/>
      </c>
      <c r="D20" s="70" t="n"/>
      <c r="E20" s="51">
        <f>IF(G20=1, IF(D20="Yes", "✓", IF(D20="Partial", "◐", IF(D20="Not Yet", "✗", ""))), "")</f>
        <v/>
      </c>
      <c r="F20" s="66" t="n"/>
      <c r="G20" s="47">
        <f>IFERROR(IF(MATCH(A20, Lookups!A:A, 0)&gt;0, 1, 0), 0)</f>
        <v/>
      </c>
      <c r="H20" s="47">
        <f>IFERROR(N(INDEX(Lookups!G:G, MATCH(A20, Lookups!A:A, 0))), 0)</f>
        <v/>
      </c>
      <c r="I20" s="47">
        <f>IFERROR(INDEX(Lookups!J:J, MATCH(A20, Lookups!A:A, 0)), "")</f>
        <v/>
      </c>
      <c r="J20" s="47">
        <f>IF(D20="Yes", TRUE, IF(D20="Partial", FALSE, IF(D20="Not Yet", FALSE, "")))</f>
        <v/>
      </c>
      <c r="K20" s="47">
        <f>IF(G20=0, "", IF(I20="3.5.3", COUNTIFS(Sub_Row_Parent_Range, "3.5.3", Pass_Flag_Range, TRUE)=4, J20))</f>
        <v/>
      </c>
      <c r="L20" s="47">
        <f>IF(G20=1, IF(K20=TRUE, 0, H20), 0)</f>
        <v/>
      </c>
      <c r="M20" s="47">
        <f>IFERROR(INDEX(Lookups!H:H, MATCH(A20, Lookups!A:A, 0)), "")</f>
        <v/>
      </c>
      <c r="N20" s="47">
        <f>IFERROR(INDEX(Lookups!B:B, MATCH(A20, Lookups!A:A, 0)), "")</f>
        <v/>
      </c>
      <c r="O20" s="47">
        <f>IF(G20=1, IF(K20=TRUE, "", IF(A20="3.12.4", -1, IF(AND(I20="3.5.3", A20&lt;&gt;"3.5.3a"), "", ROW()))), "")</f>
        <v/>
      </c>
      <c r="R20" s="27">
        <f>IF(G20=1, IF(INDEX(Lookups!A:A, COUNTIF($G$2:$G20,1)+1)=A20, 0, 1), 0)</f>
        <v/>
      </c>
    </row>
    <row r="21" ht="60" customHeight="1" s="28">
      <c r="A21" s="48" t="inlineStr">
        <is>
          <t>3.1.19</t>
        </is>
      </c>
      <c r="B21" s="50">
        <f>INDEX(Lookups!D:D, MATCH(A21, Lookups!A:A, 0))</f>
        <v/>
      </c>
      <c r="C21" s="50">
        <f>INDEX(Lookups!F:F, MATCH(A21, Lookups!A:A, 0))</f>
        <v/>
      </c>
      <c r="D21" s="70" t="n"/>
      <c r="E21" s="51">
        <f>IF(G21=1, IF(D21="Yes", "✓", IF(D21="Partial", "◐", IF(D21="Not Yet", "✗", ""))), "")</f>
        <v/>
      </c>
      <c r="F21" s="66" t="n"/>
      <c r="G21" s="47">
        <f>IFERROR(IF(MATCH(A21, Lookups!A:A, 0)&gt;0, 1, 0), 0)</f>
        <v/>
      </c>
      <c r="H21" s="47">
        <f>IFERROR(N(INDEX(Lookups!G:G, MATCH(A21, Lookups!A:A, 0))), 0)</f>
        <v/>
      </c>
      <c r="I21" s="47">
        <f>IFERROR(INDEX(Lookups!J:J, MATCH(A21, Lookups!A:A, 0)), "")</f>
        <v/>
      </c>
      <c r="J21" s="47">
        <f>IF(D21="Yes", TRUE, IF(D21="Partial", FALSE, IF(D21="Not Yet", FALSE, "")))</f>
        <v/>
      </c>
      <c r="K21" s="47">
        <f>IF(G21=0, "", IF(I21="3.5.3", COUNTIFS(Sub_Row_Parent_Range, "3.5.3", Pass_Flag_Range, TRUE)=4, J21))</f>
        <v/>
      </c>
      <c r="L21" s="47">
        <f>IF(G21=1, IF(K21=TRUE, 0, H21), 0)</f>
        <v/>
      </c>
      <c r="M21" s="47">
        <f>IFERROR(INDEX(Lookups!H:H, MATCH(A21, Lookups!A:A, 0)), "")</f>
        <v/>
      </c>
      <c r="N21" s="47">
        <f>IFERROR(INDEX(Lookups!B:B, MATCH(A21, Lookups!A:A, 0)), "")</f>
        <v/>
      </c>
      <c r="O21" s="47">
        <f>IF(G21=1, IF(K21=TRUE, "", IF(A21="3.12.4", -1, IF(AND(I21="3.5.3", A21&lt;&gt;"3.5.3a"), "", ROW()))), "")</f>
        <v/>
      </c>
      <c r="R21" s="27">
        <f>IF(G21=1, IF(INDEX(Lookups!A:A, COUNTIF($G$2:$G21,1)+1)=A21, 0, 1), 0)</f>
        <v/>
      </c>
    </row>
    <row r="22" ht="60" customHeight="1" s="28">
      <c r="A22" s="48" t="inlineStr">
        <is>
          <t>3.1.20</t>
        </is>
      </c>
      <c r="B22" s="50">
        <f>INDEX(Lookups!D:D, MATCH(A22, Lookups!A:A, 0))</f>
        <v/>
      </c>
      <c r="C22" s="50">
        <f>INDEX(Lookups!F:F, MATCH(A22, Lookups!A:A, 0))</f>
        <v/>
      </c>
      <c r="D22" s="70" t="n"/>
      <c r="E22" s="51">
        <f>IF(G22=1, IF(D22="Yes", "✓", IF(D22="Partial", "◐", IF(D22="Not Yet", "✗", ""))), "")</f>
        <v/>
      </c>
      <c r="F22" s="66" t="n"/>
      <c r="G22" s="47">
        <f>IFERROR(IF(MATCH(A22, Lookups!A:A, 0)&gt;0, 1, 0), 0)</f>
        <v/>
      </c>
      <c r="H22" s="47">
        <f>IFERROR(N(INDEX(Lookups!G:G, MATCH(A22, Lookups!A:A, 0))), 0)</f>
        <v/>
      </c>
      <c r="I22" s="47">
        <f>IFERROR(INDEX(Lookups!J:J, MATCH(A22, Lookups!A:A, 0)), "")</f>
        <v/>
      </c>
      <c r="J22" s="47">
        <f>IF(D22="Yes", TRUE, IF(D22="Partial", FALSE, IF(D22="Not Yet", FALSE, "")))</f>
        <v/>
      </c>
      <c r="K22" s="47">
        <f>IF(G22=0, "", IF(I22="3.5.3", COUNTIFS(Sub_Row_Parent_Range, "3.5.3", Pass_Flag_Range, TRUE)=4, J22))</f>
        <v/>
      </c>
      <c r="L22" s="47">
        <f>IF(G22=1, IF(K22=TRUE, 0, H22), 0)</f>
        <v/>
      </c>
      <c r="M22" s="47">
        <f>IFERROR(INDEX(Lookups!H:H, MATCH(A22, Lookups!A:A, 0)), "")</f>
        <v/>
      </c>
      <c r="N22" s="47">
        <f>IFERROR(INDEX(Lookups!B:B, MATCH(A22, Lookups!A:A, 0)), "")</f>
        <v/>
      </c>
      <c r="O22" s="47">
        <f>IF(G22=1, IF(K22=TRUE, "", IF(A22="3.12.4", -1, IF(AND(I22="3.5.3", A22&lt;&gt;"3.5.3a"), "", ROW()))), "")</f>
        <v/>
      </c>
      <c r="R22" s="27">
        <f>IF(G22=1, IF(INDEX(Lookups!A:A, COUNTIF($G$2:$G22,1)+1)=A22, 0, 1), 0)</f>
        <v/>
      </c>
    </row>
    <row r="23" ht="60" customHeight="1" s="28">
      <c r="A23" s="48" t="inlineStr">
        <is>
          <t>3.1.21</t>
        </is>
      </c>
      <c r="B23" s="50">
        <f>INDEX(Lookups!D:D, MATCH(A23, Lookups!A:A, 0))</f>
        <v/>
      </c>
      <c r="C23" s="50">
        <f>INDEX(Lookups!F:F, MATCH(A23, Lookups!A:A, 0))</f>
        <v/>
      </c>
      <c r="D23" s="70" t="n"/>
      <c r="E23" s="51">
        <f>IF(G23=1, IF(D23="Yes", "✓", IF(D23="Partial", "◐", IF(D23="Not Yet", "✗", ""))), "")</f>
        <v/>
      </c>
      <c r="F23" s="66" t="n"/>
      <c r="G23" s="47">
        <f>IFERROR(IF(MATCH(A23, Lookups!A:A, 0)&gt;0, 1, 0), 0)</f>
        <v/>
      </c>
      <c r="H23" s="47">
        <f>IFERROR(N(INDEX(Lookups!G:G, MATCH(A23, Lookups!A:A, 0))), 0)</f>
        <v/>
      </c>
      <c r="I23" s="47">
        <f>IFERROR(INDEX(Lookups!J:J, MATCH(A23, Lookups!A:A, 0)), "")</f>
        <v/>
      </c>
      <c r="J23" s="47">
        <f>IF(D23="Yes", TRUE, IF(D23="Partial", FALSE, IF(D23="Not Yet", FALSE, "")))</f>
        <v/>
      </c>
      <c r="K23" s="47">
        <f>IF(G23=0, "", IF(I23="3.5.3", COUNTIFS(Sub_Row_Parent_Range, "3.5.3", Pass_Flag_Range, TRUE)=4, J23))</f>
        <v/>
      </c>
      <c r="L23" s="47">
        <f>IF(G23=1, IF(K23=TRUE, 0, H23), 0)</f>
        <v/>
      </c>
      <c r="M23" s="47">
        <f>IFERROR(INDEX(Lookups!H:H, MATCH(A23, Lookups!A:A, 0)), "")</f>
        <v/>
      </c>
      <c r="N23" s="47">
        <f>IFERROR(INDEX(Lookups!B:B, MATCH(A23, Lookups!A:A, 0)), "")</f>
        <v/>
      </c>
      <c r="O23" s="47">
        <f>IF(G23=1, IF(K23=TRUE, "", IF(A23="3.12.4", -1, IF(AND(I23="3.5.3", A23&lt;&gt;"3.5.3a"), "", ROW()))), "")</f>
        <v/>
      </c>
      <c r="R23" s="27">
        <f>IF(G23=1, IF(INDEX(Lookups!A:A, COUNTIF($G$2:$G23,1)+1)=A23, 0, 1), 0)</f>
        <v/>
      </c>
    </row>
    <row r="24" ht="60" customHeight="1" s="28">
      <c r="A24" s="48" t="inlineStr">
        <is>
          <t>3.1.22</t>
        </is>
      </c>
      <c r="B24" s="50">
        <f>INDEX(Lookups!D:D, MATCH(A24, Lookups!A:A, 0))</f>
        <v/>
      </c>
      <c r="C24" s="50">
        <f>INDEX(Lookups!F:F, MATCH(A24, Lookups!A:A, 0))</f>
        <v/>
      </c>
      <c r="D24" s="70" t="n"/>
      <c r="E24" s="51">
        <f>IF(G24=1, IF(D24="Yes", "✓", IF(D24="Partial", "◐", IF(D24="Not Yet", "✗", ""))), "")</f>
        <v/>
      </c>
      <c r="F24" s="66" t="n"/>
      <c r="G24" s="47">
        <f>IFERROR(IF(MATCH(A24, Lookups!A:A, 0)&gt;0, 1, 0), 0)</f>
        <v/>
      </c>
      <c r="H24" s="47">
        <f>IFERROR(N(INDEX(Lookups!G:G, MATCH(A24, Lookups!A:A, 0))), 0)</f>
        <v/>
      </c>
      <c r="I24" s="47">
        <f>IFERROR(INDEX(Lookups!J:J, MATCH(A24, Lookups!A:A, 0)), "")</f>
        <v/>
      </c>
      <c r="J24" s="47">
        <f>IF(D24="Yes", TRUE, IF(D24="Partial", FALSE, IF(D24="Not Yet", FALSE, "")))</f>
        <v/>
      </c>
      <c r="K24" s="47">
        <f>IF(G24=0, "", IF(I24="3.5.3", COUNTIFS(Sub_Row_Parent_Range, "3.5.3", Pass_Flag_Range, TRUE)=4, J24))</f>
        <v/>
      </c>
      <c r="L24" s="47">
        <f>IF(G24=1, IF(K24=TRUE, 0, H24), 0)</f>
        <v/>
      </c>
      <c r="M24" s="47">
        <f>IFERROR(INDEX(Lookups!H:H, MATCH(A24, Lookups!A:A, 0)), "")</f>
        <v/>
      </c>
      <c r="N24" s="47">
        <f>IFERROR(INDEX(Lookups!B:B, MATCH(A24, Lookups!A:A, 0)), "")</f>
        <v/>
      </c>
      <c r="O24" s="47">
        <f>IF(G24=1, IF(K24=TRUE, "", IF(A24="3.12.4", -1, IF(AND(I24="3.5.3", A24&lt;&gt;"3.5.3a"), "", ROW()))), "")</f>
        <v/>
      </c>
      <c r="R24" s="27">
        <f>IF(G24=1, IF(INDEX(Lookups!A:A, COUNTIF($G$2:$G24,1)+1)=A24, 0, 1), 0)</f>
        <v/>
      </c>
    </row>
    <row r="25" ht="21.75" customHeight="1" s="28">
      <c r="A25" s="44" t="inlineStr">
        <is>
          <t>═══  3.2 — Awareness &amp; Training  (3 questions)  ═══</t>
        </is>
      </c>
      <c r="B25" s="71" t="n"/>
      <c r="C25" s="44" t="n"/>
      <c r="D25" s="44" t="n"/>
      <c r="E25" s="45">
        <f>IF(G25=1, IF(D25="Yes", "✓", IF(D25="Partial", "◐", IF(D25="Not Yet", "✗", ""))), "")</f>
        <v/>
      </c>
      <c r="F25" s="72" t="n"/>
      <c r="G25" s="47">
        <f>IFERROR(IF(MATCH(A25, Lookups!A:A, 0)&gt;0, 1, 0), 0)</f>
        <v/>
      </c>
      <c r="H25" s="47">
        <f>IFERROR(N(INDEX(Lookups!G:G, MATCH(A25, Lookups!A:A, 0))), 0)</f>
        <v/>
      </c>
      <c r="I25" s="47">
        <f>IFERROR(INDEX(Lookups!J:J, MATCH(A25, Lookups!A:A, 0)), "")</f>
        <v/>
      </c>
      <c r="J25" s="47">
        <f>IF(D25="Yes", TRUE, IF(D25="Partial", FALSE, IF(D25="Not Yet", FALSE, "")))</f>
        <v/>
      </c>
      <c r="K25" s="47">
        <f>IF(G25=0, "", IF(I25="3.5.3", COUNTIFS(Sub_Row_Parent_Range, "3.5.3", Pass_Flag_Range, TRUE)=4, J25))</f>
        <v/>
      </c>
      <c r="L25" s="47">
        <f>IF(G25=1, IF(K25=TRUE, 0, H25), 0)</f>
        <v/>
      </c>
      <c r="M25" s="47">
        <f>IFERROR(INDEX(Lookups!H:H, MATCH(A25, Lookups!A:A, 0)), "")</f>
        <v/>
      </c>
      <c r="N25" s="47">
        <f>IFERROR(INDEX(Lookups!B:B, MATCH(A25, Lookups!A:A, 0)), "")</f>
        <v/>
      </c>
      <c r="O25" s="47">
        <f>IF(G25=1, IF(K25=TRUE, "", IF(A25="3.12.4", -1, IF(AND(I25="3.5.3", A25&lt;&gt;"3.5.3a"), "", ROW()))), "")</f>
        <v/>
      </c>
      <c r="R25" s="27">
        <f>IF(G25=1, IF(INDEX(Lookups!A:A, COUNTIF($G$2:$G25,1)+1)=A25, 0, 1), 0)</f>
        <v/>
      </c>
    </row>
    <row r="26" ht="72.5" customHeight="1" s="28">
      <c r="A26" s="48" t="inlineStr">
        <is>
          <t>3.2.1</t>
        </is>
      </c>
      <c r="B26" s="50">
        <f>INDEX(Lookups!D:D, MATCH(A26, Lookups!A:A, 0))</f>
        <v/>
      </c>
      <c r="C26" s="50">
        <f>INDEX(Lookups!F:F, MATCH(A26, Lookups!A:A, 0))</f>
        <v/>
      </c>
      <c r="D26" s="70" t="n"/>
      <c r="E26" s="51">
        <f>IF(G26=1, IF(D26="Yes", "✓", IF(D26="Partial", "◐", IF(D26="Not Yet", "✗", ""))), "")</f>
        <v/>
      </c>
      <c r="F26" s="66" t="n"/>
      <c r="G26" s="47">
        <f>IFERROR(IF(MATCH(A26, Lookups!A:A, 0)&gt;0, 1, 0), 0)</f>
        <v/>
      </c>
      <c r="H26" s="47">
        <f>IFERROR(N(INDEX(Lookups!G:G, MATCH(A26, Lookups!A:A, 0))), 0)</f>
        <v/>
      </c>
      <c r="I26" s="47">
        <f>IFERROR(INDEX(Lookups!J:J, MATCH(A26, Lookups!A:A, 0)), "")</f>
        <v/>
      </c>
      <c r="J26" s="47">
        <f>IF(D26="Yes", TRUE, IF(D26="Partial", FALSE, IF(D26="Not Yet", FALSE, "")))</f>
        <v/>
      </c>
      <c r="K26" s="47">
        <f>IF(G26=0, "", IF(I26="3.5.3", COUNTIFS(Sub_Row_Parent_Range, "3.5.3", Pass_Flag_Range, TRUE)=4, J26))</f>
        <v/>
      </c>
      <c r="L26" s="47">
        <f>IF(G26=1, IF(K26=TRUE, 0, H26), 0)</f>
        <v/>
      </c>
      <c r="M26" s="47">
        <f>IFERROR(INDEX(Lookups!H:H, MATCH(A26, Lookups!A:A, 0)), "")</f>
        <v/>
      </c>
      <c r="N26" s="47">
        <f>IFERROR(INDEX(Lookups!B:B, MATCH(A26, Lookups!A:A, 0)), "")</f>
        <v/>
      </c>
      <c r="O26" s="47">
        <f>IF(G26=1, IF(K26=TRUE, "", IF(A26="3.12.4", -1, IF(AND(I26="3.5.3", A26&lt;&gt;"3.5.3a"), "", ROW()))), "")</f>
        <v/>
      </c>
      <c r="R26" s="27">
        <f>IF(G26=1, IF(INDEX(Lookups!A:A, COUNTIF($G$2:$G26,1)+1)=A26, 0, 1), 0)</f>
        <v/>
      </c>
    </row>
    <row r="27" ht="101.5" customHeight="1" s="28">
      <c r="A27" s="48" t="inlineStr">
        <is>
          <t>3.2.2</t>
        </is>
      </c>
      <c r="B27" s="50">
        <f>INDEX(Lookups!D:D, MATCH(A27, Lookups!A:A, 0))</f>
        <v/>
      </c>
      <c r="C27" s="50">
        <f>INDEX(Lookups!F:F, MATCH(A27, Lookups!A:A, 0))</f>
        <v/>
      </c>
      <c r="D27" s="70" t="n"/>
      <c r="E27" s="51">
        <f>IF(G27=1, IF(D27="Yes", "✓", IF(D27="Partial", "◐", IF(D27="Not Yet", "✗", ""))), "")</f>
        <v/>
      </c>
      <c r="F27" s="66" t="n"/>
      <c r="G27" s="47">
        <f>IFERROR(IF(MATCH(A27, Lookups!A:A, 0)&gt;0, 1, 0), 0)</f>
        <v/>
      </c>
      <c r="H27" s="47">
        <f>IFERROR(N(INDEX(Lookups!G:G, MATCH(A27, Lookups!A:A, 0))), 0)</f>
        <v/>
      </c>
      <c r="I27" s="47">
        <f>IFERROR(INDEX(Lookups!J:J, MATCH(A27, Lookups!A:A, 0)), "")</f>
        <v/>
      </c>
      <c r="J27" s="47">
        <f>IF(D27="Yes", TRUE, IF(D27="Partial", FALSE, IF(D27="Not Yet", FALSE, "")))</f>
        <v/>
      </c>
      <c r="K27" s="47">
        <f>IF(G27=0, "", IF(I27="3.5.3", COUNTIFS(Sub_Row_Parent_Range, "3.5.3", Pass_Flag_Range, TRUE)=4, J27))</f>
        <v/>
      </c>
      <c r="L27" s="47">
        <f>IF(G27=1, IF(K27=TRUE, 0, H27), 0)</f>
        <v/>
      </c>
      <c r="M27" s="47">
        <f>IFERROR(INDEX(Lookups!H:H, MATCH(A27, Lookups!A:A, 0)), "")</f>
        <v/>
      </c>
      <c r="N27" s="47">
        <f>IFERROR(INDEX(Lookups!B:B, MATCH(A27, Lookups!A:A, 0)), "")</f>
        <v/>
      </c>
      <c r="O27" s="47">
        <f>IF(G27=1, IF(K27=TRUE, "", IF(A27="3.12.4", -1, IF(AND(I27="3.5.3", A27&lt;&gt;"3.5.3a"), "", ROW()))), "")</f>
        <v/>
      </c>
      <c r="R27" s="27">
        <f>IF(G27=1, IF(INDEX(Lookups!A:A, COUNTIF($G$2:$G27,1)+1)=A27, 0, 1), 0)</f>
        <v/>
      </c>
    </row>
    <row r="28" ht="87" customHeight="1" s="28">
      <c r="A28" s="48" t="inlineStr">
        <is>
          <t>3.2.3</t>
        </is>
      </c>
      <c r="B28" s="50">
        <f>INDEX(Lookups!D:D, MATCH(A28, Lookups!A:A, 0))</f>
        <v/>
      </c>
      <c r="C28" s="50">
        <f>INDEX(Lookups!F:F, MATCH(A28, Lookups!A:A, 0))</f>
        <v/>
      </c>
      <c r="D28" s="70" t="n"/>
      <c r="E28" s="51">
        <f>IF(G28=1, IF(D28="Yes", "✓", IF(D28="Partial", "◐", IF(D28="Not Yet", "✗", ""))), "")</f>
        <v/>
      </c>
      <c r="F28" s="66" t="n"/>
      <c r="G28" s="47">
        <f>IFERROR(IF(MATCH(A28, Lookups!A:A, 0)&gt;0, 1, 0), 0)</f>
        <v/>
      </c>
      <c r="H28" s="47">
        <f>IFERROR(N(INDEX(Lookups!G:G, MATCH(A28, Lookups!A:A, 0))), 0)</f>
        <v/>
      </c>
      <c r="I28" s="47">
        <f>IFERROR(INDEX(Lookups!J:J, MATCH(A28, Lookups!A:A, 0)), "")</f>
        <v/>
      </c>
      <c r="J28" s="47">
        <f>IF(D28="Yes", TRUE, IF(D28="Partial", FALSE, IF(D28="Not Yet", FALSE, "")))</f>
        <v/>
      </c>
      <c r="K28" s="47">
        <f>IF(G28=0, "", IF(I28="3.5.3", COUNTIFS(Sub_Row_Parent_Range, "3.5.3", Pass_Flag_Range, TRUE)=4, J28))</f>
        <v/>
      </c>
      <c r="L28" s="47">
        <f>IF(G28=1, IF(K28=TRUE, 0, H28), 0)</f>
        <v/>
      </c>
      <c r="M28" s="47">
        <f>IFERROR(INDEX(Lookups!H:H, MATCH(A28, Lookups!A:A, 0)), "")</f>
        <v/>
      </c>
      <c r="N28" s="47">
        <f>IFERROR(INDEX(Lookups!B:B, MATCH(A28, Lookups!A:A, 0)), "")</f>
        <v/>
      </c>
      <c r="O28" s="47">
        <f>IF(G28=1, IF(K28=TRUE, "", IF(A28="3.12.4", -1, IF(AND(I28="3.5.3", A28&lt;&gt;"3.5.3a"), "", ROW()))), "")</f>
        <v/>
      </c>
      <c r="R28" s="27">
        <f>IF(G28=1, IF(INDEX(Lookups!A:A, COUNTIF($G$2:$G28,1)+1)=A28, 0, 1), 0)</f>
        <v/>
      </c>
    </row>
    <row r="29" ht="21.75" customHeight="1" s="28">
      <c r="A29" s="44" t="inlineStr">
        <is>
          <t>═══  3.3 — Audit &amp; Accountability  (9 questions)  ═══</t>
        </is>
      </c>
      <c r="B29" s="71" t="n"/>
      <c r="C29" s="44" t="n"/>
      <c r="D29" s="44" t="n"/>
      <c r="E29" s="45">
        <f>IF(G29=1, IF(D29="Yes", "✓", IF(D29="Partial", "◐", IF(D29="Not Yet", "✗", ""))), "")</f>
        <v/>
      </c>
      <c r="F29" s="72" t="n"/>
      <c r="G29" s="47">
        <f>IFERROR(IF(MATCH(A29, Lookups!A:A, 0)&gt;0, 1, 0), 0)</f>
        <v/>
      </c>
      <c r="H29" s="47">
        <f>IFERROR(N(INDEX(Lookups!G:G, MATCH(A29, Lookups!A:A, 0))), 0)</f>
        <v/>
      </c>
      <c r="I29" s="47">
        <f>IFERROR(INDEX(Lookups!J:J, MATCH(A29, Lookups!A:A, 0)), "")</f>
        <v/>
      </c>
      <c r="J29" s="47">
        <f>IF(D29="Yes", TRUE, IF(D29="Partial", FALSE, IF(D29="Not Yet", FALSE, "")))</f>
        <v/>
      </c>
      <c r="K29" s="47">
        <f>IF(G29=0, "", IF(I29="3.5.3", COUNTIFS(Sub_Row_Parent_Range, "3.5.3", Pass_Flag_Range, TRUE)=4, J29))</f>
        <v/>
      </c>
      <c r="L29" s="47">
        <f>IF(G29=1, IF(K29=TRUE, 0, H29), 0)</f>
        <v/>
      </c>
      <c r="M29" s="47">
        <f>IFERROR(INDEX(Lookups!H:H, MATCH(A29, Lookups!A:A, 0)), "")</f>
        <v/>
      </c>
      <c r="N29" s="47">
        <f>IFERROR(INDEX(Lookups!B:B, MATCH(A29, Lookups!A:A, 0)), "")</f>
        <v/>
      </c>
      <c r="O29" s="47">
        <f>IF(G29=1, IF(K29=TRUE, "", IF(A29="3.12.4", -1, IF(AND(I29="3.5.3", A29&lt;&gt;"3.5.3a"), "", ROW()))), "")</f>
        <v/>
      </c>
      <c r="R29" s="27">
        <f>IF(G29=1, IF(INDEX(Lookups!A:A, COUNTIF($G$2:$G29,1)+1)=A29, 0, 1), 0)</f>
        <v/>
      </c>
    </row>
    <row r="30" ht="60" customHeight="1" s="28">
      <c r="A30" s="48" t="inlineStr">
        <is>
          <t>3.3.1</t>
        </is>
      </c>
      <c r="B30" s="50">
        <f>INDEX(Lookups!D:D, MATCH(A30, Lookups!A:A, 0))</f>
        <v/>
      </c>
      <c r="C30" s="50">
        <f>INDEX(Lookups!F:F, MATCH(A30, Lookups!A:A, 0))</f>
        <v/>
      </c>
      <c r="D30" s="70" t="n"/>
      <c r="E30" s="51">
        <f>IF(G30=1, IF(D30="Yes", "✓", IF(D30="Partial", "◐", IF(D30="Not Yet", "✗", ""))), "")</f>
        <v/>
      </c>
      <c r="F30" s="66" t="n"/>
      <c r="G30" s="47">
        <f>IFERROR(IF(MATCH(A30, Lookups!A:A, 0)&gt;0, 1, 0), 0)</f>
        <v/>
      </c>
      <c r="H30" s="47">
        <f>IFERROR(N(INDEX(Lookups!G:G, MATCH(A30, Lookups!A:A, 0))), 0)</f>
        <v/>
      </c>
      <c r="I30" s="47">
        <f>IFERROR(INDEX(Lookups!J:J, MATCH(A30, Lookups!A:A, 0)), "")</f>
        <v/>
      </c>
      <c r="J30" s="47">
        <f>IF(D30="Yes", TRUE, IF(D30="Partial", FALSE, IF(D30="Not Yet", FALSE, "")))</f>
        <v/>
      </c>
      <c r="K30" s="47">
        <f>IF(G30=0, "", IF(I30="3.5.3", COUNTIFS(Sub_Row_Parent_Range, "3.5.3", Pass_Flag_Range, TRUE)=4, J30))</f>
        <v/>
      </c>
      <c r="L30" s="47">
        <f>IF(G30=1, IF(K30=TRUE, 0, H30), 0)</f>
        <v/>
      </c>
      <c r="M30" s="47">
        <f>IFERROR(INDEX(Lookups!H:H, MATCH(A30, Lookups!A:A, 0)), "")</f>
        <v/>
      </c>
      <c r="N30" s="47">
        <f>IFERROR(INDEX(Lookups!B:B, MATCH(A30, Lookups!A:A, 0)), "")</f>
        <v/>
      </c>
      <c r="O30" s="47">
        <f>IF(G30=1, IF(K30=TRUE, "", IF(A30="3.12.4", -1, IF(AND(I30="3.5.3", A30&lt;&gt;"3.5.3a"), "", ROW()))), "")</f>
        <v/>
      </c>
      <c r="R30" s="27">
        <f>IF(G30=1, IF(INDEX(Lookups!A:A, COUNTIF($G$2:$G30,1)+1)=A30, 0, 1), 0)</f>
        <v/>
      </c>
    </row>
    <row r="31" ht="60" customHeight="1" s="28">
      <c r="A31" s="48" t="inlineStr">
        <is>
          <t>3.3.2</t>
        </is>
      </c>
      <c r="B31" s="50">
        <f>INDEX(Lookups!D:D, MATCH(A31, Lookups!A:A, 0))</f>
        <v/>
      </c>
      <c r="C31" s="50">
        <f>INDEX(Lookups!F:F, MATCH(A31, Lookups!A:A, 0))</f>
        <v/>
      </c>
      <c r="D31" s="70" t="n"/>
      <c r="E31" s="51">
        <f>IF(G31=1, IF(D31="Yes", "✓", IF(D31="Partial", "◐", IF(D31="Not Yet", "✗", ""))), "")</f>
        <v/>
      </c>
      <c r="F31" s="66" t="n"/>
      <c r="G31" s="47">
        <f>IFERROR(IF(MATCH(A31, Lookups!A:A, 0)&gt;0, 1, 0), 0)</f>
        <v/>
      </c>
      <c r="H31" s="47">
        <f>IFERROR(N(INDEX(Lookups!G:G, MATCH(A31, Lookups!A:A, 0))), 0)</f>
        <v/>
      </c>
      <c r="I31" s="47">
        <f>IFERROR(INDEX(Lookups!J:J, MATCH(A31, Lookups!A:A, 0)), "")</f>
        <v/>
      </c>
      <c r="J31" s="47">
        <f>IF(D31="Yes", TRUE, IF(D31="Partial", FALSE, IF(D31="Not Yet", FALSE, "")))</f>
        <v/>
      </c>
      <c r="K31" s="47">
        <f>IF(G31=0, "", IF(I31="3.5.3", COUNTIFS(Sub_Row_Parent_Range, "3.5.3", Pass_Flag_Range, TRUE)=4, J31))</f>
        <v/>
      </c>
      <c r="L31" s="47">
        <f>IF(G31=1, IF(K31=TRUE, 0, H31), 0)</f>
        <v/>
      </c>
      <c r="M31" s="47">
        <f>IFERROR(INDEX(Lookups!H:H, MATCH(A31, Lookups!A:A, 0)), "")</f>
        <v/>
      </c>
      <c r="N31" s="47">
        <f>IFERROR(INDEX(Lookups!B:B, MATCH(A31, Lookups!A:A, 0)), "")</f>
        <v/>
      </c>
      <c r="O31" s="47">
        <f>IF(G31=1, IF(K31=TRUE, "", IF(A31="3.12.4", -1, IF(AND(I31="3.5.3", A31&lt;&gt;"3.5.3a"), "", ROW()))), "")</f>
        <v/>
      </c>
      <c r="R31" s="27">
        <f>IF(G31=1, IF(INDEX(Lookups!A:A, COUNTIF($G$2:$G31,1)+1)=A31, 0, 1), 0)</f>
        <v/>
      </c>
    </row>
    <row r="32" ht="60" customHeight="1" s="28">
      <c r="A32" s="48" t="inlineStr">
        <is>
          <t>3.3.3</t>
        </is>
      </c>
      <c r="B32" s="50">
        <f>INDEX(Lookups!D:D, MATCH(A32, Lookups!A:A, 0))</f>
        <v/>
      </c>
      <c r="C32" s="50">
        <f>INDEX(Lookups!F:F, MATCH(A32, Lookups!A:A, 0))</f>
        <v/>
      </c>
      <c r="D32" s="70" t="n"/>
      <c r="E32" s="51">
        <f>IF(G32=1, IF(D32="Yes", "✓", IF(D32="Partial", "◐", IF(D32="Not Yet", "✗", ""))), "")</f>
        <v/>
      </c>
      <c r="F32" s="66" t="n"/>
      <c r="G32" s="47">
        <f>IFERROR(IF(MATCH(A32, Lookups!A:A, 0)&gt;0, 1, 0), 0)</f>
        <v/>
      </c>
      <c r="H32" s="47">
        <f>IFERROR(N(INDEX(Lookups!G:G, MATCH(A32, Lookups!A:A, 0))), 0)</f>
        <v/>
      </c>
      <c r="I32" s="47">
        <f>IFERROR(INDEX(Lookups!J:J, MATCH(A32, Lookups!A:A, 0)), "")</f>
        <v/>
      </c>
      <c r="J32" s="47">
        <f>IF(D32="Yes", TRUE, IF(D32="Partial", FALSE, IF(D32="Not Yet", FALSE, "")))</f>
        <v/>
      </c>
      <c r="K32" s="47">
        <f>IF(G32=0, "", IF(I32="3.5.3", COUNTIFS(Sub_Row_Parent_Range, "3.5.3", Pass_Flag_Range, TRUE)=4, J32))</f>
        <v/>
      </c>
      <c r="L32" s="47">
        <f>IF(G32=1, IF(K32=TRUE, 0, H32), 0)</f>
        <v/>
      </c>
      <c r="M32" s="47">
        <f>IFERROR(INDEX(Lookups!H:H, MATCH(A32, Lookups!A:A, 0)), "")</f>
        <v/>
      </c>
      <c r="N32" s="47">
        <f>IFERROR(INDEX(Lookups!B:B, MATCH(A32, Lookups!A:A, 0)), "")</f>
        <v/>
      </c>
      <c r="O32" s="47">
        <f>IF(G32=1, IF(K32=TRUE, "", IF(A32="3.12.4", -1, IF(AND(I32="3.5.3", A32&lt;&gt;"3.5.3a"), "", ROW()))), "")</f>
        <v/>
      </c>
      <c r="R32" s="27">
        <f>IF(G32=1, IF(INDEX(Lookups!A:A, COUNTIF($G$2:$G32,1)+1)=A32, 0, 1), 0)</f>
        <v/>
      </c>
    </row>
    <row r="33" ht="60" customHeight="1" s="28">
      <c r="A33" s="48" t="inlineStr">
        <is>
          <t>3.3.4</t>
        </is>
      </c>
      <c r="B33" s="50">
        <f>INDEX(Lookups!D:D, MATCH(A33, Lookups!A:A, 0))</f>
        <v/>
      </c>
      <c r="C33" s="50">
        <f>INDEX(Lookups!F:F, MATCH(A33, Lookups!A:A, 0))</f>
        <v/>
      </c>
      <c r="D33" s="70" t="n"/>
      <c r="E33" s="51">
        <f>IF(G33=1, IF(D33="Yes", "✓", IF(D33="Partial", "◐", IF(D33="Not Yet", "✗", ""))), "")</f>
        <v/>
      </c>
      <c r="F33" s="66" t="n"/>
      <c r="G33" s="47">
        <f>IFERROR(IF(MATCH(A33, Lookups!A:A, 0)&gt;0, 1, 0), 0)</f>
        <v/>
      </c>
      <c r="H33" s="47">
        <f>IFERROR(N(INDEX(Lookups!G:G, MATCH(A33, Lookups!A:A, 0))), 0)</f>
        <v/>
      </c>
      <c r="I33" s="47">
        <f>IFERROR(INDEX(Lookups!J:J, MATCH(A33, Lookups!A:A, 0)), "")</f>
        <v/>
      </c>
      <c r="J33" s="47">
        <f>IF(D33="Yes", TRUE, IF(D33="Partial", FALSE, IF(D33="Not Yet", FALSE, "")))</f>
        <v/>
      </c>
      <c r="K33" s="47">
        <f>IF(G33=0, "", IF(I33="3.5.3", COUNTIFS(Sub_Row_Parent_Range, "3.5.3", Pass_Flag_Range, TRUE)=4, J33))</f>
        <v/>
      </c>
      <c r="L33" s="47">
        <f>IF(G33=1, IF(K33=TRUE, 0, H33), 0)</f>
        <v/>
      </c>
      <c r="M33" s="47">
        <f>IFERROR(INDEX(Lookups!H:H, MATCH(A33, Lookups!A:A, 0)), "")</f>
        <v/>
      </c>
      <c r="N33" s="47">
        <f>IFERROR(INDEX(Lookups!B:B, MATCH(A33, Lookups!A:A, 0)), "")</f>
        <v/>
      </c>
      <c r="O33" s="47">
        <f>IF(G33=1, IF(K33=TRUE, "", IF(A33="3.12.4", -1, IF(AND(I33="3.5.3", A33&lt;&gt;"3.5.3a"), "", ROW()))), "")</f>
        <v/>
      </c>
      <c r="R33" s="27">
        <f>IF(G33=1, IF(INDEX(Lookups!A:A, COUNTIF($G$2:$G33,1)+1)=A33, 0, 1), 0)</f>
        <v/>
      </c>
    </row>
    <row r="34" ht="87" customHeight="1" s="28">
      <c r="A34" s="48" t="inlineStr">
        <is>
          <t>3.3.5</t>
        </is>
      </c>
      <c r="B34" s="50">
        <f>INDEX(Lookups!D:D, MATCH(A34, Lookups!A:A, 0))</f>
        <v/>
      </c>
      <c r="C34" s="50">
        <f>INDEX(Lookups!F:F, MATCH(A34, Lookups!A:A, 0))</f>
        <v/>
      </c>
      <c r="D34" s="70" t="n"/>
      <c r="E34" s="51">
        <f>IF(G34=1, IF(D34="Yes", "✓", IF(D34="Partial", "◐", IF(D34="Not Yet", "✗", ""))), "")</f>
        <v/>
      </c>
      <c r="F34" s="66" t="n"/>
      <c r="G34" s="47">
        <f>IFERROR(IF(MATCH(A34, Lookups!A:A, 0)&gt;0, 1, 0), 0)</f>
        <v/>
      </c>
      <c r="H34" s="47">
        <f>IFERROR(N(INDEX(Lookups!G:G, MATCH(A34, Lookups!A:A, 0))), 0)</f>
        <v/>
      </c>
      <c r="I34" s="47">
        <f>IFERROR(INDEX(Lookups!J:J, MATCH(A34, Lookups!A:A, 0)), "")</f>
        <v/>
      </c>
      <c r="J34" s="47">
        <f>IF(D34="Yes", TRUE, IF(D34="Partial", FALSE, IF(D34="Not Yet", FALSE, "")))</f>
        <v/>
      </c>
      <c r="K34" s="47">
        <f>IF(G34=0, "", IF(I34="3.5.3", COUNTIFS(Sub_Row_Parent_Range, "3.5.3", Pass_Flag_Range, TRUE)=4, J34))</f>
        <v/>
      </c>
      <c r="L34" s="47">
        <f>IF(G34=1, IF(K34=TRUE, 0, H34), 0)</f>
        <v/>
      </c>
      <c r="M34" s="47">
        <f>IFERROR(INDEX(Lookups!H:H, MATCH(A34, Lookups!A:A, 0)), "")</f>
        <v/>
      </c>
      <c r="N34" s="47">
        <f>IFERROR(INDEX(Lookups!B:B, MATCH(A34, Lookups!A:A, 0)), "")</f>
        <v/>
      </c>
      <c r="O34" s="47">
        <f>IF(G34=1, IF(K34=TRUE, "", IF(A34="3.12.4", -1, IF(AND(I34="3.5.3", A34&lt;&gt;"3.5.3a"), "", ROW()))), "")</f>
        <v/>
      </c>
      <c r="R34" s="27">
        <f>IF(G34=1, IF(INDEX(Lookups!A:A, COUNTIF($G$2:$G34,1)+1)=A34, 0, 1), 0)</f>
        <v/>
      </c>
    </row>
    <row r="35" ht="60" customHeight="1" s="28">
      <c r="A35" s="48" t="inlineStr">
        <is>
          <t>3.3.6</t>
        </is>
      </c>
      <c r="B35" s="50">
        <f>INDEX(Lookups!D:D, MATCH(A35, Lookups!A:A, 0))</f>
        <v/>
      </c>
      <c r="C35" s="50">
        <f>INDEX(Lookups!F:F, MATCH(A35, Lookups!A:A, 0))</f>
        <v/>
      </c>
      <c r="D35" s="70" t="n"/>
      <c r="E35" s="51">
        <f>IF(G35=1, IF(D35="Yes", "✓", IF(D35="Partial", "◐", IF(D35="Not Yet", "✗", ""))), "")</f>
        <v/>
      </c>
      <c r="F35" s="66" t="n"/>
      <c r="G35" s="47">
        <f>IFERROR(IF(MATCH(A35, Lookups!A:A, 0)&gt;0, 1, 0), 0)</f>
        <v/>
      </c>
      <c r="H35" s="47">
        <f>IFERROR(N(INDEX(Lookups!G:G, MATCH(A35, Lookups!A:A, 0))), 0)</f>
        <v/>
      </c>
      <c r="I35" s="47">
        <f>IFERROR(INDEX(Lookups!J:J, MATCH(A35, Lookups!A:A, 0)), "")</f>
        <v/>
      </c>
      <c r="J35" s="47">
        <f>IF(D35="Yes", TRUE, IF(D35="Partial", FALSE, IF(D35="Not Yet", FALSE, "")))</f>
        <v/>
      </c>
      <c r="K35" s="47">
        <f>IF(G35=0, "", IF(I35="3.5.3", COUNTIFS(Sub_Row_Parent_Range, "3.5.3", Pass_Flag_Range, TRUE)=4, J35))</f>
        <v/>
      </c>
      <c r="L35" s="47">
        <f>IF(G35=1, IF(K35=TRUE, 0, H35), 0)</f>
        <v/>
      </c>
      <c r="M35" s="47">
        <f>IFERROR(INDEX(Lookups!H:H, MATCH(A35, Lookups!A:A, 0)), "")</f>
        <v/>
      </c>
      <c r="N35" s="47">
        <f>IFERROR(INDEX(Lookups!B:B, MATCH(A35, Lookups!A:A, 0)), "")</f>
        <v/>
      </c>
      <c r="O35" s="47">
        <f>IF(G35=1, IF(K35=TRUE, "", IF(A35="3.12.4", -1, IF(AND(I35="3.5.3", A35&lt;&gt;"3.5.3a"), "", ROW()))), "")</f>
        <v/>
      </c>
      <c r="R35" s="27">
        <f>IF(G35=1, IF(INDEX(Lookups!A:A, COUNTIF($G$2:$G35,1)+1)=A35, 0, 1), 0)</f>
        <v/>
      </c>
    </row>
    <row r="36" ht="87" customHeight="1" s="28">
      <c r="A36" s="48" t="inlineStr">
        <is>
          <t>3.3.7</t>
        </is>
      </c>
      <c r="B36" s="50">
        <f>INDEX(Lookups!D:D, MATCH(A36, Lookups!A:A, 0))</f>
        <v/>
      </c>
      <c r="C36" s="50">
        <f>INDEX(Lookups!F:F, MATCH(A36, Lookups!A:A, 0))</f>
        <v/>
      </c>
      <c r="D36" s="70" t="n"/>
      <c r="E36" s="51">
        <f>IF(G36=1, IF(D36="Yes", "✓", IF(D36="Partial", "◐", IF(D36="Not Yet", "✗", ""))), "")</f>
        <v/>
      </c>
      <c r="F36" s="66" t="n"/>
      <c r="G36" s="47">
        <f>IFERROR(IF(MATCH(A36, Lookups!A:A, 0)&gt;0, 1, 0), 0)</f>
        <v/>
      </c>
      <c r="H36" s="47">
        <f>IFERROR(N(INDEX(Lookups!G:G, MATCH(A36, Lookups!A:A, 0))), 0)</f>
        <v/>
      </c>
      <c r="I36" s="47">
        <f>IFERROR(INDEX(Lookups!J:J, MATCH(A36, Lookups!A:A, 0)), "")</f>
        <v/>
      </c>
      <c r="J36" s="47">
        <f>IF(D36="Yes", TRUE, IF(D36="Partial", FALSE, IF(D36="Not Yet", FALSE, "")))</f>
        <v/>
      </c>
      <c r="K36" s="47">
        <f>IF(G36=0, "", IF(I36="3.5.3", COUNTIFS(Sub_Row_Parent_Range, "3.5.3", Pass_Flag_Range, TRUE)=4, J36))</f>
        <v/>
      </c>
      <c r="L36" s="47">
        <f>IF(G36=1, IF(K36=TRUE, 0, H36), 0)</f>
        <v/>
      </c>
      <c r="M36" s="47">
        <f>IFERROR(INDEX(Lookups!H:H, MATCH(A36, Lookups!A:A, 0)), "")</f>
        <v/>
      </c>
      <c r="N36" s="47">
        <f>IFERROR(INDEX(Lookups!B:B, MATCH(A36, Lookups!A:A, 0)), "")</f>
        <v/>
      </c>
      <c r="O36" s="47">
        <f>IF(G36=1, IF(K36=TRUE, "", IF(A36="3.12.4", -1, IF(AND(I36="3.5.3", A36&lt;&gt;"3.5.3a"), "", ROW()))), "")</f>
        <v/>
      </c>
      <c r="R36" s="27">
        <f>IF(G36=1, IF(INDEX(Lookups!A:A, COUNTIF($G$2:$G36,1)+1)=A36, 0, 1), 0)</f>
        <v/>
      </c>
    </row>
    <row r="37" ht="60" customHeight="1" s="28">
      <c r="A37" s="48" t="inlineStr">
        <is>
          <t>3.3.8</t>
        </is>
      </c>
      <c r="B37" s="50">
        <f>INDEX(Lookups!D:D, MATCH(A37, Lookups!A:A, 0))</f>
        <v/>
      </c>
      <c r="C37" s="50">
        <f>INDEX(Lookups!F:F, MATCH(A37, Lookups!A:A, 0))</f>
        <v/>
      </c>
      <c r="D37" s="70" t="n"/>
      <c r="E37" s="51">
        <f>IF(G37=1, IF(D37="Yes", "✓", IF(D37="Partial", "◐", IF(D37="Not Yet", "✗", ""))), "")</f>
        <v/>
      </c>
      <c r="F37" s="66" t="n"/>
      <c r="G37" s="47">
        <f>IFERROR(IF(MATCH(A37, Lookups!A:A, 0)&gt;0, 1, 0), 0)</f>
        <v/>
      </c>
      <c r="H37" s="47">
        <f>IFERROR(N(INDEX(Lookups!G:G, MATCH(A37, Lookups!A:A, 0))), 0)</f>
        <v/>
      </c>
      <c r="I37" s="47">
        <f>IFERROR(INDEX(Lookups!J:J, MATCH(A37, Lookups!A:A, 0)), "")</f>
        <v/>
      </c>
      <c r="J37" s="47">
        <f>IF(D37="Yes", TRUE, IF(D37="Partial", FALSE, IF(D37="Not Yet", FALSE, "")))</f>
        <v/>
      </c>
      <c r="K37" s="47">
        <f>IF(G37=0, "", IF(I37="3.5.3", COUNTIFS(Sub_Row_Parent_Range, "3.5.3", Pass_Flag_Range, TRUE)=4, J37))</f>
        <v/>
      </c>
      <c r="L37" s="47">
        <f>IF(G37=1, IF(K37=TRUE, 0, H37), 0)</f>
        <v/>
      </c>
      <c r="M37" s="47">
        <f>IFERROR(INDEX(Lookups!H:H, MATCH(A37, Lookups!A:A, 0)), "")</f>
        <v/>
      </c>
      <c r="N37" s="47">
        <f>IFERROR(INDEX(Lookups!B:B, MATCH(A37, Lookups!A:A, 0)), "")</f>
        <v/>
      </c>
      <c r="O37" s="47">
        <f>IF(G37=1, IF(K37=TRUE, "", IF(A37="3.12.4", -1, IF(AND(I37="3.5.3", A37&lt;&gt;"3.5.3a"), "", ROW()))), "")</f>
        <v/>
      </c>
      <c r="R37" s="27">
        <f>IF(G37=1, IF(INDEX(Lookups!A:A, COUNTIF($G$2:$G37,1)+1)=A37, 0, 1), 0)</f>
        <v/>
      </c>
    </row>
    <row r="38" ht="60" customHeight="1" s="28">
      <c r="A38" s="48" t="inlineStr">
        <is>
          <t>3.3.9</t>
        </is>
      </c>
      <c r="B38" s="50">
        <f>INDEX(Lookups!D:D, MATCH(A38, Lookups!A:A, 0))</f>
        <v/>
      </c>
      <c r="C38" s="50">
        <f>INDEX(Lookups!F:F, MATCH(A38, Lookups!A:A, 0))</f>
        <v/>
      </c>
      <c r="D38" s="70" t="n"/>
      <c r="E38" s="51">
        <f>IF(G38=1, IF(D38="Yes", "✓", IF(D38="Partial", "◐", IF(D38="Not Yet", "✗", ""))), "")</f>
        <v/>
      </c>
      <c r="F38" s="66" t="n"/>
      <c r="G38" s="47">
        <f>IFERROR(IF(MATCH(A38, Lookups!A:A, 0)&gt;0, 1, 0), 0)</f>
        <v/>
      </c>
      <c r="H38" s="47">
        <f>IFERROR(N(INDEX(Lookups!G:G, MATCH(A38, Lookups!A:A, 0))), 0)</f>
        <v/>
      </c>
      <c r="I38" s="47">
        <f>IFERROR(INDEX(Lookups!J:J, MATCH(A38, Lookups!A:A, 0)), "")</f>
        <v/>
      </c>
      <c r="J38" s="47">
        <f>IF(D38="Yes", TRUE, IF(D38="Partial", FALSE, IF(D38="Not Yet", FALSE, "")))</f>
        <v/>
      </c>
      <c r="K38" s="47">
        <f>IF(G38=0, "", IF(I38="3.5.3", COUNTIFS(Sub_Row_Parent_Range, "3.5.3", Pass_Flag_Range, TRUE)=4, J38))</f>
        <v/>
      </c>
      <c r="L38" s="47">
        <f>IF(G38=1, IF(K38=TRUE, 0, H38), 0)</f>
        <v/>
      </c>
      <c r="M38" s="47">
        <f>IFERROR(INDEX(Lookups!H:H, MATCH(A38, Lookups!A:A, 0)), "")</f>
        <v/>
      </c>
      <c r="N38" s="47">
        <f>IFERROR(INDEX(Lookups!B:B, MATCH(A38, Lookups!A:A, 0)), "")</f>
        <v/>
      </c>
      <c r="O38" s="47">
        <f>IF(G38=1, IF(K38=TRUE, "", IF(A38="3.12.4", -1, IF(AND(I38="3.5.3", A38&lt;&gt;"3.5.3a"), "", ROW()))), "")</f>
        <v/>
      </c>
      <c r="R38" s="27">
        <f>IF(G38=1, IF(INDEX(Lookups!A:A, COUNTIF($G$2:$G38,1)+1)=A38, 0, 1), 0)</f>
        <v/>
      </c>
    </row>
    <row r="39" ht="21.75" customHeight="1" s="28">
      <c r="A39" s="44" t="inlineStr">
        <is>
          <t>═══  3.4 — Configuration Management  (9 questions)  ═══</t>
        </is>
      </c>
      <c r="B39" s="71" t="n"/>
      <c r="C39" s="44" t="n"/>
      <c r="D39" s="44" t="n"/>
      <c r="E39" s="45">
        <f>IF(G39=1, IF(D39="Yes", "✓", IF(D39="Partial", "◐", IF(D39="Not Yet", "✗", ""))), "")</f>
        <v/>
      </c>
      <c r="F39" s="72" t="n"/>
      <c r="G39" s="47">
        <f>IFERROR(IF(MATCH(A39, Lookups!A:A, 0)&gt;0, 1, 0), 0)</f>
        <v/>
      </c>
      <c r="H39" s="47">
        <f>IFERROR(N(INDEX(Lookups!G:G, MATCH(A39, Lookups!A:A, 0))), 0)</f>
        <v/>
      </c>
      <c r="I39" s="47">
        <f>IFERROR(INDEX(Lookups!J:J, MATCH(A39, Lookups!A:A, 0)), "")</f>
        <v/>
      </c>
      <c r="J39" s="47">
        <f>IF(D39="Yes", TRUE, IF(D39="Partial", FALSE, IF(D39="Not Yet", FALSE, "")))</f>
        <v/>
      </c>
      <c r="K39" s="47">
        <f>IF(G39=0, "", IF(I39="3.5.3", COUNTIFS(Sub_Row_Parent_Range, "3.5.3", Pass_Flag_Range, TRUE)=4, J39))</f>
        <v/>
      </c>
      <c r="L39" s="47">
        <f>IF(G39=1, IF(K39=TRUE, 0, H39), 0)</f>
        <v/>
      </c>
      <c r="M39" s="47">
        <f>IFERROR(INDEX(Lookups!H:H, MATCH(A39, Lookups!A:A, 0)), "")</f>
        <v/>
      </c>
      <c r="N39" s="47">
        <f>IFERROR(INDEX(Lookups!B:B, MATCH(A39, Lookups!A:A, 0)), "")</f>
        <v/>
      </c>
      <c r="O39" s="47">
        <f>IF(G39=1, IF(K39=TRUE, "", IF(A39="3.12.4", -1, IF(AND(I39="3.5.3", A39&lt;&gt;"3.5.3a"), "", ROW()))), "")</f>
        <v/>
      </c>
      <c r="R39" s="27">
        <f>IF(G39=1, IF(INDEX(Lookups!A:A, COUNTIF($G$2:$G39,1)+1)=A39, 0, 1), 0)</f>
        <v/>
      </c>
    </row>
    <row r="40" ht="145" customHeight="1" s="28">
      <c r="A40" s="48" t="inlineStr">
        <is>
          <t>3.4.1</t>
        </is>
      </c>
      <c r="B40" s="50">
        <f>INDEX(Lookups!D:D, MATCH(A40, Lookups!A:A, 0))</f>
        <v/>
      </c>
      <c r="C40" s="50">
        <f>INDEX(Lookups!F:F, MATCH(A40, Lookups!A:A, 0))</f>
        <v/>
      </c>
      <c r="D40" s="70" t="n"/>
      <c r="E40" s="51">
        <f>IF(G40=1, IF(D40="Yes", "✓", IF(D40="Partial", "◐", IF(D40="Not Yet", "✗", ""))), "")</f>
        <v/>
      </c>
      <c r="F40" s="66" t="n"/>
      <c r="G40" s="47">
        <f>IFERROR(IF(MATCH(A40, Lookups!A:A, 0)&gt;0, 1, 0), 0)</f>
        <v/>
      </c>
      <c r="H40" s="47">
        <f>IFERROR(N(INDEX(Lookups!G:G, MATCH(A40, Lookups!A:A, 0))), 0)</f>
        <v/>
      </c>
      <c r="I40" s="47">
        <f>IFERROR(INDEX(Lookups!J:J, MATCH(A40, Lookups!A:A, 0)), "")</f>
        <v/>
      </c>
      <c r="J40" s="47">
        <f>IF(D40="Yes", TRUE, IF(D40="Partial", FALSE, IF(D40="Not Yet", FALSE, "")))</f>
        <v/>
      </c>
      <c r="K40" s="47">
        <f>IF(G40=0, "", IF(I40="3.5.3", COUNTIFS(Sub_Row_Parent_Range, "3.5.3", Pass_Flag_Range, TRUE)=4, J40))</f>
        <v/>
      </c>
      <c r="L40" s="47">
        <f>IF(G40=1, IF(K40=TRUE, 0, H40), 0)</f>
        <v/>
      </c>
      <c r="M40" s="47">
        <f>IFERROR(INDEX(Lookups!H:H, MATCH(A40, Lookups!A:A, 0)), "")</f>
        <v/>
      </c>
      <c r="N40" s="47">
        <f>IFERROR(INDEX(Lookups!B:B, MATCH(A40, Lookups!A:A, 0)), "")</f>
        <v/>
      </c>
      <c r="O40" s="47">
        <f>IF(G40=1, IF(K40=TRUE, "", IF(A40="3.12.4", -1, IF(AND(I40="3.5.3", A40&lt;&gt;"3.5.3a"), "", ROW()))), "")</f>
        <v/>
      </c>
      <c r="R40" s="27">
        <f>IF(G40=1, IF(INDEX(Lookups!A:A, COUNTIF($G$2:$G40,1)+1)=A40, 0, 1), 0)</f>
        <v/>
      </c>
    </row>
    <row r="41" ht="101.5" customHeight="1" s="28">
      <c r="A41" s="48" t="inlineStr">
        <is>
          <t>3.4.2</t>
        </is>
      </c>
      <c r="B41" s="50">
        <f>INDEX(Lookups!D:D, MATCH(A41, Lookups!A:A, 0))</f>
        <v/>
      </c>
      <c r="C41" s="50">
        <f>INDEX(Lookups!F:F, MATCH(A41, Lookups!A:A, 0))</f>
        <v/>
      </c>
      <c r="D41" s="70" t="n"/>
      <c r="E41" s="51">
        <f>IF(G41=1, IF(D41="Yes", "✓", IF(D41="Partial", "◐", IF(D41="Not Yet", "✗", ""))), "")</f>
        <v/>
      </c>
      <c r="F41" s="66" t="n"/>
      <c r="G41" s="47">
        <f>IFERROR(IF(MATCH(A41, Lookups!A:A, 0)&gt;0, 1, 0), 0)</f>
        <v/>
      </c>
      <c r="H41" s="47">
        <f>IFERROR(N(INDEX(Lookups!G:G, MATCH(A41, Lookups!A:A, 0))), 0)</f>
        <v/>
      </c>
      <c r="I41" s="47">
        <f>IFERROR(INDEX(Lookups!J:J, MATCH(A41, Lookups!A:A, 0)), "")</f>
        <v/>
      </c>
      <c r="J41" s="47">
        <f>IF(D41="Yes", TRUE, IF(D41="Partial", FALSE, IF(D41="Not Yet", FALSE, "")))</f>
        <v/>
      </c>
      <c r="K41" s="47">
        <f>IF(G41=0, "", IF(I41="3.5.3", COUNTIFS(Sub_Row_Parent_Range, "3.5.3", Pass_Flag_Range, TRUE)=4, J41))</f>
        <v/>
      </c>
      <c r="L41" s="47">
        <f>IF(G41=1, IF(K41=TRUE, 0, H41), 0)</f>
        <v/>
      </c>
      <c r="M41" s="47">
        <f>IFERROR(INDEX(Lookups!H:H, MATCH(A41, Lookups!A:A, 0)), "")</f>
        <v/>
      </c>
      <c r="N41" s="47">
        <f>IFERROR(INDEX(Lookups!B:B, MATCH(A41, Lookups!A:A, 0)), "")</f>
        <v/>
      </c>
      <c r="O41" s="47">
        <f>IF(G41=1, IF(K41=TRUE, "", IF(A41="3.12.4", -1, IF(AND(I41="3.5.3", A41&lt;&gt;"3.5.3a"), "", ROW()))), "")</f>
        <v/>
      </c>
      <c r="R41" s="27">
        <f>IF(G41=1, IF(INDEX(Lookups!A:A, COUNTIF($G$2:$G41,1)+1)=A41, 0, 1), 0)</f>
        <v/>
      </c>
    </row>
    <row r="42" ht="130.5" customHeight="1" s="28">
      <c r="A42" s="48" t="inlineStr">
        <is>
          <t>3.4.3</t>
        </is>
      </c>
      <c r="B42" s="50">
        <f>INDEX(Lookups!D:D, MATCH(A42, Lookups!A:A, 0))</f>
        <v/>
      </c>
      <c r="C42" s="50">
        <f>INDEX(Lookups!F:F, MATCH(A42, Lookups!A:A, 0))</f>
        <v/>
      </c>
      <c r="D42" s="70" t="n"/>
      <c r="E42" s="51">
        <f>IF(G42=1, IF(D42="Yes", "✓", IF(D42="Partial", "◐", IF(D42="Not Yet", "✗", ""))), "")</f>
        <v/>
      </c>
      <c r="F42" s="66" t="n"/>
      <c r="G42" s="47">
        <f>IFERROR(IF(MATCH(A42, Lookups!A:A, 0)&gt;0, 1, 0), 0)</f>
        <v/>
      </c>
      <c r="H42" s="47">
        <f>IFERROR(N(INDEX(Lookups!G:G, MATCH(A42, Lookups!A:A, 0))), 0)</f>
        <v/>
      </c>
      <c r="I42" s="47">
        <f>IFERROR(INDEX(Lookups!J:J, MATCH(A42, Lookups!A:A, 0)), "")</f>
        <v/>
      </c>
      <c r="J42" s="47">
        <f>IF(D42="Yes", TRUE, IF(D42="Partial", FALSE, IF(D42="Not Yet", FALSE, "")))</f>
        <v/>
      </c>
      <c r="K42" s="47">
        <f>IF(G42=0, "", IF(I42="3.5.3", COUNTIFS(Sub_Row_Parent_Range, "3.5.3", Pass_Flag_Range, TRUE)=4, J42))</f>
        <v/>
      </c>
      <c r="L42" s="47">
        <f>IF(G42=1, IF(K42=TRUE, 0, H42), 0)</f>
        <v/>
      </c>
      <c r="M42" s="47">
        <f>IFERROR(INDEX(Lookups!H:H, MATCH(A42, Lookups!A:A, 0)), "")</f>
        <v/>
      </c>
      <c r="N42" s="47">
        <f>IFERROR(INDEX(Lookups!B:B, MATCH(A42, Lookups!A:A, 0)), "")</f>
        <v/>
      </c>
      <c r="O42" s="47">
        <f>IF(G42=1, IF(K42=TRUE, "", IF(A42="3.12.4", -1, IF(AND(I42="3.5.3", A42&lt;&gt;"3.5.3a"), "", ROW()))), "")</f>
        <v/>
      </c>
      <c r="R42" s="27">
        <f>IF(G42=1, IF(INDEX(Lookups!A:A, COUNTIF($G$2:$G42,1)+1)=A42, 0, 1), 0)</f>
        <v/>
      </c>
    </row>
    <row r="43" ht="101.5" customHeight="1" s="28">
      <c r="A43" s="48" t="inlineStr">
        <is>
          <t>3.4.4</t>
        </is>
      </c>
      <c r="B43" s="50">
        <f>INDEX(Lookups!D:D, MATCH(A43, Lookups!A:A, 0))</f>
        <v/>
      </c>
      <c r="C43" s="50">
        <f>INDEX(Lookups!F:F, MATCH(A43, Lookups!A:A, 0))</f>
        <v/>
      </c>
      <c r="D43" s="70" t="n"/>
      <c r="E43" s="51">
        <f>IF(G43=1, IF(D43="Yes", "✓", IF(D43="Partial", "◐", IF(D43="Not Yet", "✗", ""))), "")</f>
        <v/>
      </c>
      <c r="F43" s="66" t="n"/>
      <c r="G43" s="47">
        <f>IFERROR(IF(MATCH(A43, Lookups!A:A, 0)&gt;0, 1, 0), 0)</f>
        <v/>
      </c>
      <c r="H43" s="47">
        <f>IFERROR(N(INDEX(Lookups!G:G, MATCH(A43, Lookups!A:A, 0))), 0)</f>
        <v/>
      </c>
      <c r="I43" s="47">
        <f>IFERROR(INDEX(Lookups!J:J, MATCH(A43, Lookups!A:A, 0)), "")</f>
        <v/>
      </c>
      <c r="J43" s="47">
        <f>IF(D43="Yes", TRUE, IF(D43="Partial", FALSE, IF(D43="Not Yet", FALSE, "")))</f>
        <v/>
      </c>
      <c r="K43" s="47">
        <f>IF(G43=0, "", IF(I43="3.5.3", COUNTIFS(Sub_Row_Parent_Range, "3.5.3", Pass_Flag_Range, TRUE)=4, J43))</f>
        <v/>
      </c>
      <c r="L43" s="47">
        <f>IF(G43=1, IF(K43=TRUE, 0, H43), 0)</f>
        <v/>
      </c>
      <c r="M43" s="47">
        <f>IFERROR(INDEX(Lookups!H:H, MATCH(A43, Lookups!A:A, 0)), "")</f>
        <v/>
      </c>
      <c r="N43" s="47">
        <f>IFERROR(INDEX(Lookups!B:B, MATCH(A43, Lookups!A:A, 0)), "")</f>
        <v/>
      </c>
      <c r="O43" s="47">
        <f>IF(G43=1, IF(K43=TRUE, "", IF(A43="3.12.4", -1, IF(AND(I43="3.5.3", A43&lt;&gt;"3.5.3a"), "", ROW()))), "")</f>
        <v/>
      </c>
      <c r="R43" s="27">
        <f>IF(G43=1, IF(INDEX(Lookups!A:A, COUNTIF($G$2:$G43,1)+1)=A43, 0, 1), 0)</f>
        <v/>
      </c>
    </row>
    <row r="44" ht="130.5" customHeight="1" s="28">
      <c r="A44" s="48" t="inlineStr">
        <is>
          <t>3.4.5</t>
        </is>
      </c>
      <c r="B44" s="50">
        <f>INDEX(Lookups!D:D, MATCH(A44, Lookups!A:A, 0))</f>
        <v/>
      </c>
      <c r="C44" s="50">
        <f>INDEX(Lookups!F:F, MATCH(A44, Lookups!A:A, 0))</f>
        <v/>
      </c>
      <c r="D44" s="70" t="n"/>
      <c r="E44" s="51">
        <f>IF(G44=1, IF(D44="Yes", "✓", IF(D44="Partial", "◐", IF(D44="Not Yet", "✗", ""))), "")</f>
        <v/>
      </c>
      <c r="F44" s="66" t="n"/>
      <c r="G44" s="47">
        <f>IFERROR(IF(MATCH(A44, Lookups!A:A, 0)&gt;0, 1, 0), 0)</f>
        <v/>
      </c>
      <c r="H44" s="47">
        <f>IFERROR(N(INDEX(Lookups!G:G, MATCH(A44, Lookups!A:A, 0))), 0)</f>
        <v/>
      </c>
      <c r="I44" s="47">
        <f>IFERROR(INDEX(Lookups!J:J, MATCH(A44, Lookups!A:A, 0)), "")</f>
        <v/>
      </c>
      <c r="J44" s="47">
        <f>IF(D44="Yes", TRUE, IF(D44="Partial", FALSE, IF(D44="Not Yet", FALSE, "")))</f>
        <v/>
      </c>
      <c r="K44" s="47">
        <f>IF(G44=0, "", IF(I44="3.5.3", COUNTIFS(Sub_Row_Parent_Range, "3.5.3", Pass_Flag_Range, TRUE)=4, J44))</f>
        <v/>
      </c>
      <c r="L44" s="47">
        <f>IF(G44=1, IF(K44=TRUE, 0, H44), 0)</f>
        <v/>
      </c>
      <c r="M44" s="47">
        <f>IFERROR(INDEX(Lookups!H:H, MATCH(A44, Lookups!A:A, 0)), "")</f>
        <v/>
      </c>
      <c r="N44" s="47">
        <f>IFERROR(INDEX(Lookups!B:B, MATCH(A44, Lookups!A:A, 0)), "")</f>
        <v/>
      </c>
      <c r="O44" s="47">
        <f>IF(G44=1, IF(K44=TRUE, "", IF(A44="3.12.4", -1, IF(AND(I44="3.5.3", A44&lt;&gt;"3.5.3a"), "", ROW()))), "")</f>
        <v/>
      </c>
      <c r="R44" s="27">
        <f>IF(G44=1, IF(INDEX(Lookups!A:A, COUNTIF($G$2:$G44,1)+1)=A44, 0, 1), 0)</f>
        <v/>
      </c>
    </row>
    <row r="45" ht="145" customHeight="1" s="28">
      <c r="A45" s="48" t="inlineStr">
        <is>
          <t>3.4.6</t>
        </is>
      </c>
      <c r="B45" s="50">
        <f>INDEX(Lookups!D:D, MATCH(A45, Lookups!A:A, 0))</f>
        <v/>
      </c>
      <c r="C45" s="50">
        <f>INDEX(Lookups!F:F, MATCH(A45, Lookups!A:A, 0))</f>
        <v/>
      </c>
      <c r="D45" s="70" t="n"/>
      <c r="E45" s="51">
        <f>IF(G45=1, IF(D45="Yes", "✓", IF(D45="Partial", "◐", IF(D45="Not Yet", "✗", ""))), "")</f>
        <v/>
      </c>
      <c r="F45" s="66" t="n"/>
      <c r="G45" s="47">
        <f>IFERROR(IF(MATCH(A45, Lookups!A:A, 0)&gt;0, 1, 0), 0)</f>
        <v/>
      </c>
      <c r="H45" s="47">
        <f>IFERROR(N(INDEX(Lookups!G:G, MATCH(A45, Lookups!A:A, 0))), 0)</f>
        <v/>
      </c>
      <c r="I45" s="47">
        <f>IFERROR(INDEX(Lookups!J:J, MATCH(A45, Lookups!A:A, 0)), "")</f>
        <v/>
      </c>
      <c r="J45" s="47">
        <f>IF(D45="Yes", TRUE, IF(D45="Partial", FALSE, IF(D45="Not Yet", FALSE, "")))</f>
        <v/>
      </c>
      <c r="K45" s="47">
        <f>IF(G45=0, "", IF(I45="3.5.3", COUNTIFS(Sub_Row_Parent_Range, "3.5.3", Pass_Flag_Range, TRUE)=4, J45))</f>
        <v/>
      </c>
      <c r="L45" s="47">
        <f>IF(G45=1, IF(K45=TRUE, 0, H45), 0)</f>
        <v/>
      </c>
      <c r="M45" s="47">
        <f>IFERROR(INDEX(Lookups!H:H, MATCH(A45, Lookups!A:A, 0)), "")</f>
        <v/>
      </c>
      <c r="N45" s="47">
        <f>IFERROR(INDEX(Lookups!B:B, MATCH(A45, Lookups!A:A, 0)), "")</f>
        <v/>
      </c>
      <c r="O45" s="47">
        <f>IF(G45=1, IF(K45=TRUE, "", IF(A45="3.12.4", -1, IF(AND(I45="3.5.3", A45&lt;&gt;"3.5.3a"), "", ROW()))), "")</f>
        <v/>
      </c>
      <c r="R45" s="27">
        <f>IF(G45=1, IF(INDEX(Lookups!A:A, COUNTIF($G$2:$G45,1)+1)=A45, 0, 1), 0)</f>
        <v/>
      </c>
    </row>
    <row r="46" ht="130.5" customHeight="1" s="28">
      <c r="A46" s="48" t="inlineStr">
        <is>
          <t>3.4.7</t>
        </is>
      </c>
      <c r="B46" s="50">
        <f>INDEX(Lookups!D:D, MATCH(A46, Lookups!A:A, 0))</f>
        <v/>
      </c>
      <c r="C46" s="50">
        <f>INDEX(Lookups!F:F, MATCH(A46, Lookups!A:A, 0))</f>
        <v/>
      </c>
      <c r="D46" s="70" t="n"/>
      <c r="E46" s="51">
        <f>IF(G46=1, IF(D46="Yes", "✓", IF(D46="Partial", "◐", IF(D46="Not Yet", "✗", ""))), "")</f>
        <v/>
      </c>
      <c r="F46" s="66" t="n"/>
      <c r="G46" s="47">
        <f>IFERROR(IF(MATCH(A46, Lookups!A:A, 0)&gt;0, 1, 0), 0)</f>
        <v/>
      </c>
      <c r="H46" s="47">
        <f>IFERROR(N(INDEX(Lookups!G:G, MATCH(A46, Lookups!A:A, 0))), 0)</f>
        <v/>
      </c>
      <c r="I46" s="47">
        <f>IFERROR(INDEX(Lookups!J:J, MATCH(A46, Lookups!A:A, 0)), "")</f>
        <v/>
      </c>
      <c r="J46" s="47">
        <f>IF(D46="Yes", TRUE, IF(D46="Partial", FALSE, IF(D46="Not Yet", FALSE, "")))</f>
        <v/>
      </c>
      <c r="K46" s="47">
        <f>IF(G46=0, "", IF(I46="3.5.3", COUNTIFS(Sub_Row_Parent_Range, "3.5.3", Pass_Flag_Range, TRUE)=4, J46))</f>
        <v/>
      </c>
      <c r="L46" s="47">
        <f>IF(G46=1, IF(K46=TRUE, 0, H46), 0)</f>
        <v/>
      </c>
      <c r="M46" s="47">
        <f>IFERROR(INDEX(Lookups!H:H, MATCH(A46, Lookups!A:A, 0)), "")</f>
        <v/>
      </c>
      <c r="N46" s="47">
        <f>IFERROR(INDEX(Lookups!B:B, MATCH(A46, Lookups!A:A, 0)), "")</f>
        <v/>
      </c>
      <c r="O46" s="47">
        <f>IF(G46=1, IF(K46=TRUE, "", IF(A46="3.12.4", -1, IF(AND(I46="3.5.3", A46&lt;&gt;"3.5.3a"), "", ROW()))), "")</f>
        <v/>
      </c>
      <c r="R46" s="27">
        <f>IF(G46=1, IF(INDEX(Lookups!A:A, COUNTIF($G$2:$G46,1)+1)=A46, 0, 1), 0)</f>
        <v/>
      </c>
    </row>
    <row r="47" ht="116" customHeight="1" s="28">
      <c r="A47" s="48" t="inlineStr">
        <is>
          <t>3.4.8</t>
        </is>
      </c>
      <c r="B47" s="50">
        <f>INDEX(Lookups!D:D, MATCH(A47, Lookups!A:A, 0))</f>
        <v/>
      </c>
      <c r="C47" s="50">
        <f>INDEX(Lookups!F:F, MATCH(A47, Lookups!A:A, 0))</f>
        <v/>
      </c>
      <c r="D47" s="70" t="n"/>
      <c r="E47" s="51">
        <f>IF(G47=1, IF(D47="Yes", "✓", IF(D47="Partial", "◐", IF(D47="Not Yet", "✗", ""))), "")</f>
        <v/>
      </c>
      <c r="F47" s="66" t="n"/>
      <c r="G47" s="47">
        <f>IFERROR(IF(MATCH(A47, Lookups!A:A, 0)&gt;0, 1, 0), 0)</f>
        <v/>
      </c>
      <c r="H47" s="47">
        <f>IFERROR(N(INDEX(Lookups!G:G, MATCH(A47, Lookups!A:A, 0))), 0)</f>
        <v/>
      </c>
      <c r="I47" s="47">
        <f>IFERROR(INDEX(Lookups!J:J, MATCH(A47, Lookups!A:A, 0)), "")</f>
        <v/>
      </c>
      <c r="J47" s="47">
        <f>IF(D47="Yes", TRUE, IF(D47="Partial", FALSE, IF(D47="Not Yet", FALSE, "")))</f>
        <v/>
      </c>
      <c r="K47" s="47">
        <f>IF(G47=0, "", IF(I47="3.5.3", COUNTIFS(Sub_Row_Parent_Range, "3.5.3", Pass_Flag_Range, TRUE)=4, J47))</f>
        <v/>
      </c>
      <c r="L47" s="47">
        <f>IF(G47=1, IF(K47=TRUE, 0, H47), 0)</f>
        <v/>
      </c>
      <c r="M47" s="47">
        <f>IFERROR(INDEX(Lookups!H:H, MATCH(A47, Lookups!A:A, 0)), "")</f>
        <v/>
      </c>
      <c r="N47" s="47">
        <f>IFERROR(INDEX(Lookups!B:B, MATCH(A47, Lookups!A:A, 0)), "")</f>
        <v/>
      </c>
      <c r="O47" s="47">
        <f>IF(G47=1, IF(K47=TRUE, "", IF(A47="3.12.4", -1, IF(AND(I47="3.5.3", A47&lt;&gt;"3.5.3a"), "", ROW()))), "")</f>
        <v/>
      </c>
      <c r="R47" s="27">
        <f>IF(G47=1, IF(INDEX(Lookups!A:A, COUNTIF($G$2:$G47,1)+1)=A47, 0, 1), 0)</f>
        <v/>
      </c>
    </row>
    <row r="48" ht="116" customHeight="1" s="28">
      <c r="A48" s="48" t="inlineStr">
        <is>
          <t>3.4.9</t>
        </is>
      </c>
      <c r="B48" s="50">
        <f>INDEX(Lookups!D:D, MATCH(A48, Lookups!A:A, 0))</f>
        <v/>
      </c>
      <c r="C48" s="50">
        <f>INDEX(Lookups!F:F, MATCH(A48, Lookups!A:A, 0))</f>
        <v/>
      </c>
      <c r="D48" s="70" t="n"/>
      <c r="E48" s="51">
        <f>IF(G48=1, IF(D48="Yes", "✓", IF(D48="Partial", "◐", IF(D48="Not Yet", "✗", ""))), "")</f>
        <v/>
      </c>
      <c r="F48" s="66" t="n"/>
      <c r="G48" s="47">
        <f>IFERROR(IF(MATCH(A48, Lookups!A:A, 0)&gt;0, 1, 0), 0)</f>
        <v/>
      </c>
      <c r="H48" s="47">
        <f>IFERROR(N(INDEX(Lookups!G:G, MATCH(A48, Lookups!A:A, 0))), 0)</f>
        <v/>
      </c>
      <c r="I48" s="47">
        <f>IFERROR(INDEX(Lookups!J:J, MATCH(A48, Lookups!A:A, 0)), "")</f>
        <v/>
      </c>
      <c r="J48" s="47">
        <f>IF(D48="Yes", TRUE, IF(D48="Partial", FALSE, IF(D48="Not Yet", FALSE, "")))</f>
        <v/>
      </c>
      <c r="K48" s="47">
        <f>IF(G48=0, "", IF(I48="3.5.3", COUNTIFS(Sub_Row_Parent_Range, "3.5.3", Pass_Flag_Range, TRUE)=4, J48))</f>
        <v/>
      </c>
      <c r="L48" s="47">
        <f>IF(G48=1, IF(K48=TRUE, 0, H48), 0)</f>
        <v/>
      </c>
      <c r="M48" s="47">
        <f>IFERROR(INDEX(Lookups!H:H, MATCH(A48, Lookups!A:A, 0)), "")</f>
        <v/>
      </c>
      <c r="N48" s="47">
        <f>IFERROR(INDEX(Lookups!B:B, MATCH(A48, Lookups!A:A, 0)), "")</f>
        <v/>
      </c>
      <c r="O48" s="47">
        <f>IF(G48=1, IF(K48=TRUE, "", IF(A48="3.12.4", -1, IF(AND(I48="3.5.3", A48&lt;&gt;"3.5.3a"), "", ROW()))), "")</f>
        <v/>
      </c>
      <c r="R48" s="27">
        <f>IF(G48=1, IF(INDEX(Lookups!A:A, COUNTIF($G$2:$G48,1)+1)=A48, 0, 1), 0)</f>
        <v/>
      </c>
    </row>
    <row r="49" ht="21.75" customHeight="1" s="28">
      <c r="A49" s="44" t="inlineStr">
        <is>
          <t>═══  3.5 — Identification &amp; Authentication  (14 questions)  ═══</t>
        </is>
      </c>
      <c r="B49" s="71" t="n"/>
      <c r="C49" s="44" t="n"/>
      <c r="D49" s="44" t="n"/>
      <c r="E49" s="45">
        <f>IF(G49=1, IF(D49="Yes", "✓", IF(D49="Partial", "◐", IF(D49="Not Yet", "✗", ""))), "")</f>
        <v/>
      </c>
      <c r="F49" s="72" t="n"/>
      <c r="G49" s="47">
        <f>IFERROR(IF(MATCH(A49, Lookups!A:A, 0)&gt;0, 1, 0), 0)</f>
        <v/>
      </c>
      <c r="H49" s="47">
        <f>IFERROR(N(INDEX(Lookups!G:G, MATCH(A49, Lookups!A:A, 0))), 0)</f>
        <v/>
      </c>
      <c r="I49" s="47">
        <f>IFERROR(INDEX(Lookups!J:J, MATCH(A49, Lookups!A:A, 0)), "")</f>
        <v/>
      </c>
      <c r="J49" s="47">
        <f>IF(D49="Yes", TRUE, IF(D49="Partial", FALSE, IF(D49="Not Yet", FALSE, "")))</f>
        <v/>
      </c>
      <c r="K49" s="47">
        <f>IF(G49=0, "", IF(I49="3.5.3", COUNTIFS(Sub_Row_Parent_Range, "3.5.3", Pass_Flag_Range, TRUE)=4, J49))</f>
        <v/>
      </c>
      <c r="L49" s="47">
        <f>IF(G49=1, IF(K49=TRUE, 0, H49), 0)</f>
        <v/>
      </c>
      <c r="M49" s="47">
        <f>IFERROR(INDEX(Lookups!H:H, MATCH(A49, Lookups!A:A, 0)), "")</f>
        <v/>
      </c>
      <c r="N49" s="47">
        <f>IFERROR(INDEX(Lookups!B:B, MATCH(A49, Lookups!A:A, 0)), "")</f>
        <v/>
      </c>
      <c r="O49" s="47">
        <f>IF(G49=1, IF(K49=TRUE, "", IF(A49="3.12.4", -1, IF(AND(I49="3.5.3", A49&lt;&gt;"3.5.3a"), "", ROW()))), "")</f>
        <v/>
      </c>
      <c r="R49" s="27">
        <f>IF(G49=1, IF(INDEX(Lookups!A:A, COUNTIF($G$2:$G49,1)+1)=A49, 0, 1), 0)</f>
        <v/>
      </c>
    </row>
    <row r="50" ht="60" customHeight="1" s="28">
      <c r="A50" s="48" t="inlineStr">
        <is>
          <t>3.5.1</t>
        </is>
      </c>
      <c r="B50" s="50">
        <f>INDEX(Lookups!D:D, MATCH(A50, Lookups!A:A, 0))</f>
        <v/>
      </c>
      <c r="C50" s="50">
        <f>INDEX(Lookups!F:F, MATCH(A50, Lookups!A:A, 0))</f>
        <v/>
      </c>
      <c r="D50" s="70" t="n"/>
      <c r="E50" s="51">
        <f>IF(G50=1, IF(D50="Yes", "✓", IF(D50="Partial", "◐", IF(D50="Not Yet", "✗", ""))), "")</f>
        <v/>
      </c>
      <c r="F50" s="66" t="n"/>
      <c r="G50" s="47">
        <f>IFERROR(IF(MATCH(A50, Lookups!A:A, 0)&gt;0, 1, 0), 0)</f>
        <v/>
      </c>
      <c r="H50" s="47">
        <f>IFERROR(N(INDEX(Lookups!G:G, MATCH(A50, Lookups!A:A, 0))), 0)</f>
        <v/>
      </c>
      <c r="I50" s="47">
        <f>IFERROR(INDEX(Lookups!J:J, MATCH(A50, Lookups!A:A, 0)), "")</f>
        <v/>
      </c>
      <c r="J50" s="47">
        <f>IF(D50="Yes", TRUE, IF(D50="Partial", FALSE, IF(D50="Not Yet", FALSE, "")))</f>
        <v/>
      </c>
      <c r="K50" s="47">
        <f>IF(G50=0, "", IF(I50="3.5.3", COUNTIFS(Sub_Row_Parent_Range, "3.5.3", Pass_Flag_Range, TRUE)=4, J50))</f>
        <v/>
      </c>
      <c r="L50" s="47">
        <f>IF(G50=1, IF(K50=TRUE, 0, H50), 0)</f>
        <v/>
      </c>
      <c r="M50" s="47">
        <f>IFERROR(INDEX(Lookups!H:H, MATCH(A50, Lookups!A:A, 0)), "")</f>
        <v/>
      </c>
      <c r="N50" s="47">
        <f>IFERROR(INDEX(Lookups!B:B, MATCH(A50, Lookups!A:A, 0)), "")</f>
        <v/>
      </c>
      <c r="O50" s="47">
        <f>IF(G50=1, IF(K50=TRUE, "", IF(A50="3.12.4", -1, IF(AND(I50="3.5.3", A50&lt;&gt;"3.5.3a"), "", ROW()))), "")</f>
        <v/>
      </c>
      <c r="R50" s="27">
        <f>IF(G50=1, IF(INDEX(Lookups!A:A, COUNTIF($G$2:$G50,1)+1)=A50, 0, 1), 0)</f>
        <v/>
      </c>
    </row>
    <row r="51" ht="60" customHeight="1" s="28">
      <c r="A51" s="48" t="inlineStr">
        <is>
          <t>3.5.2</t>
        </is>
      </c>
      <c r="B51" s="50">
        <f>INDEX(Lookups!D:D, MATCH(A51, Lookups!A:A, 0))</f>
        <v/>
      </c>
      <c r="C51" s="50">
        <f>INDEX(Lookups!F:F, MATCH(A51, Lookups!A:A, 0))</f>
        <v/>
      </c>
      <c r="D51" s="70" t="n"/>
      <c r="E51" s="51">
        <f>IF(G51=1, IF(D51="Yes", "✓", IF(D51="Partial", "◐", IF(D51="Not Yet", "✗", ""))), "")</f>
        <v/>
      </c>
      <c r="F51" s="66" t="n"/>
      <c r="G51" s="47">
        <f>IFERROR(IF(MATCH(A51, Lookups!A:A, 0)&gt;0, 1, 0), 0)</f>
        <v/>
      </c>
      <c r="H51" s="47">
        <f>IFERROR(N(INDEX(Lookups!G:G, MATCH(A51, Lookups!A:A, 0))), 0)</f>
        <v/>
      </c>
      <c r="I51" s="47">
        <f>IFERROR(INDEX(Lookups!J:J, MATCH(A51, Lookups!A:A, 0)), "")</f>
        <v/>
      </c>
      <c r="J51" s="47">
        <f>IF(D51="Yes", TRUE, IF(D51="Partial", FALSE, IF(D51="Not Yet", FALSE, "")))</f>
        <v/>
      </c>
      <c r="K51" s="47">
        <f>IF(G51=0, "", IF(I51="3.5.3", COUNTIFS(Sub_Row_Parent_Range, "3.5.3", Pass_Flag_Range, TRUE)=4, J51))</f>
        <v/>
      </c>
      <c r="L51" s="47">
        <f>IF(G51=1, IF(K51=TRUE, 0, H51), 0)</f>
        <v/>
      </c>
      <c r="M51" s="47">
        <f>IFERROR(INDEX(Lookups!H:H, MATCH(A51, Lookups!A:A, 0)), "")</f>
        <v/>
      </c>
      <c r="N51" s="47">
        <f>IFERROR(INDEX(Lookups!B:B, MATCH(A51, Lookups!A:A, 0)), "")</f>
        <v/>
      </c>
      <c r="O51" s="47">
        <f>IF(G51=1, IF(K51=TRUE, "", IF(A51="3.12.4", -1, IF(AND(I51="3.5.3", A51&lt;&gt;"3.5.3a"), "", ROW()))), "")</f>
        <v/>
      </c>
      <c r="R51" s="27">
        <f>IF(G51=1, IF(INDEX(Lookups!A:A, COUNTIF($G$2:$G51,1)+1)=A51, 0, 1), 0)</f>
        <v/>
      </c>
    </row>
    <row r="52" ht="21.75" customHeight="1" s="28">
      <c r="A52" s="114" t="n"/>
      <c r="B52" s="114" t="inlineStr">
        <is>
          <t>→  3.5.3 — Multi-Factor Authentication  (4 sub-parts; ALL must be Yes for control to PASS)</t>
        </is>
      </c>
      <c r="C52" s="114" t="n"/>
      <c r="D52" s="114" t="n"/>
      <c r="E52" s="53">
        <f>IF(G52=1, IF(D52="Yes", "✓", IF(D52="Partial", "◐", IF(D52="Not Yet", "✗", ""))), "")</f>
        <v/>
      </c>
      <c r="F52" s="74" t="n"/>
      <c r="G52" s="47">
        <f>IFERROR(IF(MATCH(A52, Lookups!A:A, 0)&gt;0, 1, 0), 0)</f>
        <v/>
      </c>
      <c r="H52" s="47">
        <f>IFERROR(N(INDEX(Lookups!G:G, MATCH(A52, Lookups!A:A, 0))), 0)</f>
        <v/>
      </c>
      <c r="I52" s="47">
        <f>IFERROR(INDEX(Lookups!J:J, MATCH(A52, Lookups!A:A, 0)), "")</f>
        <v/>
      </c>
      <c r="J52" s="47">
        <f>IF(D52="Yes", TRUE, IF(D52="Partial", FALSE, IF(D52="Not Yet", FALSE, "")))</f>
        <v/>
      </c>
      <c r="K52" s="47">
        <f>IF(G52=0, "", IF(I52="3.5.3", COUNTIFS(Sub_Row_Parent_Range, "3.5.3", Pass_Flag_Range, TRUE)=4, J52))</f>
        <v/>
      </c>
      <c r="L52" s="47">
        <f>IF(G52=1, IF(K52=TRUE, 0, H52), 0)</f>
        <v/>
      </c>
      <c r="M52" s="47">
        <f>IFERROR(INDEX(Lookups!H:H, MATCH(A52, Lookups!A:A, 0)), "")</f>
        <v/>
      </c>
      <c r="N52" s="47">
        <f>IFERROR(INDEX(Lookups!B:B, MATCH(A52, Lookups!A:A, 0)), "")</f>
        <v/>
      </c>
      <c r="O52" s="47">
        <f>IF(G52=1, IF(K52=TRUE, "", IF(A52="3.12.4", -1, IF(AND(I52="3.5.3", A52&lt;&gt;"3.5.3a"), "", ROW()))), "")</f>
        <v/>
      </c>
      <c r="R52" s="27">
        <f>IF(G52=1, IF(INDEX(Lookups!A:A, COUNTIF($G$2:$G52,1)+1)=A52, 0, 1), 0)</f>
        <v/>
      </c>
    </row>
    <row r="53" ht="60" customHeight="1" s="28">
      <c r="A53" s="48" t="inlineStr">
        <is>
          <t>3.5.3a</t>
        </is>
      </c>
      <c r="B53" s="50">
        <f>INDEX(Lookups!D:D, MATCH(A53, Lookups!A:A, 0))</f>
        <v/>
      </c>
      <c r="C53" s="50">
        <f>INDEX(Lookups!F:F, MATCH(A53, Lookups!A:A, 0))</f>
        <v/>
      </c>
      <c r="D53" s="70" t="n"/>
      <c r="E53" s="51">
        <f>IF(G53=1, IF(D53="Yes", "✓", IF(D53="Partial", "◐", IF(D53="Not Yet", "✗", ""))), "")</f>
        <v/>
      </c>
      <c r="F53" s="66" t="n"/>
      <c r="G53" s="47">
        <f>IFERROR(IF(MATCH(A53, Lookups!A:A, 0)&gt;0, 1, 0), 0)</f>
        <v/>
      </c>
      <c r="H53" s="47">
        <f>IFERROR(N(INDEX(Lookups!G:G, MATCH(A53, Lookups!A:A, 0))), 0)</f>
        <v/>
      </c>
      <c r="I53" s="47">
        <f>IFERROR(INDEX(Lookups!J:J, MATCH(A53, Lookups!A:A, 0)), "")</f>
        <v/>
      </c>
      <c r="J53" s="47">
        <f>IF(D53="Yes", TRUE, IF(D53="Partial", FALSE, IF(D53="Not Yet", FALSE, "")))</f>
        <v/>
      </c>
      <c r="K53" s="47">
        <f>IF(G53=0, "", IF(I53="3.5.3", COUNTIFS(Sub_Row_Parent_Range, "3.5.3", Pass_Flag_Range, TRUE)=4, J53))</f>
        <v/>
      </c>
      <c r="L53" s="47">
        <f>IF(G53=1, IF(K53=TRUE, 0, H53), 0)</f>
        <v/>
      </c>
      <c r="M53" s="47">
        <f>IFERROR(INDEX(Lookups!H:H, MATCH(A53, Lookups!A:A, 0)), "")</f>
        <v/>
      </c>
      <c r="N53" s="47">
        <f>IFERROR(INDEX(Lookups!B:B, MATCH(A53, Lookups!A:A, 0)), "")</f>
        <v/>
      </c>
      <c r="O53" s="47">
        <f>IF(G53=1, IF(K53=TRUE, "", IF(A53="3.12.4", -1, IF(AND(I53="3.5.3", A53&lt;&gt;"3.5.3a"), "", ROW()))), "")</f>
        <v/>
      </c>
      <c r="P53" s="41">
        <f>IF(D53&lt;&gt;"Yes", "Privileged local access (a); ", "") &amp; IF(D54&lt;&gt;"Yes", "Privileged network access (b); ", "") &amp; IF(D55&lt;&gt;"Yes", "Standard staff network access (c); ", "") &amp; IF(D56&lt;&gt;"Yes", "Legacy auth blocked (d); ", "")</f>
        <v/>
      </c>
      <c r="R53" s="27">
        <f>IF(G53=1, IF(INDEX(Lookups!A:A, COUNTIF($G$2:$G53,1)+1)=A53, 0, 1), 0)</f>
        <v/>
      </c>
    </row>
    <row r="54" ht="60" customHeight="1" s="28">
      <c r="A54" s="48" t="inlineStr">
        <is>
          <t>3.5.3b</t>
        </is>
      </c>
      <c r="B54" s="50">
        <f>INDEX(Lookups!D:D, MATCH(A54, Lookups!A:A, 0))</f>
        <v/>
      </c>
      <c r="C54" s="50">
        <f>INDEX(Lookups!F:F, MATCH(A54, Lookups!A:A, 0))</f>
        <v/>
      </c>
      <c r="D54" s="70" t="n"/>
      <c r="E54" s="51">
        <f>IF(G54=1, IF(D54="Yes", "✓", IF(D54="Partial", "◐", IF(D54="Not Yet", "✗", ""))), "")</f>
        <v/>
      </c>
      <c r="F54" s="66" t="n"/>
      <c r="G54" s="47">
        <f>IFERROR(IF(MATCH(A54, Lookups!A:A, 0)&gt;0, 1, 0), 0)</f>
        <v/>
      </c>
      <c r="H54" s="47">
        <f>IFERROR(N(INDEX(Lookups!G:G, MATCH(A54, Lookups!A:A, 0))), 0)</f>
        <v/>
      </c>
      <c r="I54" s="47">
        <f>IFERROR(INDEX(Lookups!J:J, MATCH(A54, Lookups!A:A, 0)), "")</f>
        <v/>
      </c>
      <c r="J54" s="47">
        <f>IF(D54="Yes", TRUE, IF(D54="Partial", FALSE, IF(D54="Not Yet", FALSE, "")))</f>
        <v/>
      </c>
      <c r="K54" s="47">
        <f>IF(G54=0, "", IF(I54="3.5.3", COUNTIFS(Sub_Row_Parent_Range, "3.5.3", Pass_Flag_Range, TRUE)=4, J54))</f>
        <v/>
      </c>
      <c r="L54" s="47">
        <f>IF(G54=1, IF(K54=TRUE, 0, H54), 0)</f>
        <v/>
      </c>
      <c r="M54" s="47">
        <f>IFERROR(INDEX(Lookups!H:H, MATCH(A54, Lookups!A:A, 0)), "")</f>
        <v/>
      </c>
      <c r="N54" s="47">
        <f>IFERROR(INDEX(Lookups!B:B, MATCH(A54, Lookups!A:A, 0)), "")</f>
        <v/>
      </c>
      <c r="O54" s="47">
        <f>IF(G54=1, IF(K54=TRUE, "", IF(A54="3.12.4", -1, IF(AND(I54="3.5.3", A54&lt;&gt;"3.5.3a"), "", ROW()))), "")</f>
        <v/>
      </c>
      <c r="R54" s="27">
        <f>IF(G54=1, IF(INDEX(Lookups!A:A, COUNTIF($G$2:$G54,1)+1)=A54, 0, 1), 0)</f>
        <v/>
      </c>
    </row>
    <row r="55" ht="60" customHeight="1" s="28">
      <c r="A55" s="48" t="inlineStr">
        <is>
          <t>3.5.3c</t>
        </is>
      </c>
      <c r="B55" s="50">
        <f>INDEX(Lookups!D:D, MATCH(A55, Lookups!A:A, 0))</f>
        <v/>
      </c>
      <c r="C55" s="50">
        <f>INDEX(Lookups!F:F, MATCH(A55, Lookups!A:A, 0))</f>
        <v/>
      </c>
      <c r="D55" s="70" t="n"/>
      <c r="E55" s="51">
        <f>IF(G55=1, IF(D55="Yes", "✓", IF(D55="Partial", "◐", IF(D55="Not Yet", "✗", ""))), "")</f>
        <v/>
      </c>
      <c r="F55" s="66" t="n"/>
      <c r="G55" s="47">
        <f>IFERROR(IF(MATCH(A55, Lookups!A:A, 0)&gt;0, 1, 0), 0)</f>
        <v/>
      </c>
      <c r="H55" s="47">
        <f>IFERROR(N(INDEX(Lookups!G:G, MATCH(A55, Lookups!A:A, 0))), 0)</f>
        <v/>
      </c>
      <c r="I55" s="47">
        <f>IFERROR(INDEX(Lookups!J:J, MATCH(A55, Lookups!A:A, 0)), "")</f>
        <v/>
      </c>
      <c r="J55" s="47">
        <f>IF(D55="Yes", TRUE, IF(D55="Partial", FALSE, IF(D55="Not Yet", FALSE, "")))</f>
        <v/>
      </c>
      <c r="K55" s="47">
        <f>IF(G55=0, "", IF(I55="3.5.3", COUNTIFS(Sub_Row_Parent_Range, "3.5.3", Pass_Flag_Range, TRUE)=4, J55))</f>
        <v/>
      </c>
      <c r="L55" s="47">
        <f>IF(G55=1, IF(K55=TRUE, 0, H55), 0)</f>
        <v/>
      </c>
      <c r="M55" s="47">
        <f>IFERROR(INDEX(Lookups!H:H, MATCH(A55, Lookups!A:A, 0)), "")</f>
        <v/>
      </c>
      <c r="N55" s="47">
        <f>IFERROR(INDEX(Lookups!B:B, MATCH(A55, Lookups!A:A, 0)), "")</f>
        <v/>
      </c>
      <c r="O55" s="47">
        <f>IF(G55=1, IF(K55=TRUE, "", IF(A55="3.12.4", -1, IF(AND(I55="3.5.3", A55&lt;&gt;"3.5.3a"), "", ROW()))), "")</f>
        <v/>
      </c>
      <c r="R55" s="27">
        <f>IF(G55=1, IF(INDEX(Lookups!A:A, COUNTIF($G$2:$G55,1)+1)=A55, 0, 1), 0)</f>
        <v/>
      </c>
    </row>
    <row r="56" ht="60" customHeight="1" s="28">
      <c r="A56" s="48" t="inlineStr">
        <is>
          <t>3.5.3d</t>
        </is>
      </c>
      <c r="B56" s="50">
        <f>INDEX(Lookups!D:D, MATCH(A56, Lookups!A:A, 0))</f>
        <v/>
      </c>
      <c r="C56" s="50">
        <f>INDEX(Lookups!F:F, MATCH(A56, Lookups!A:A, 0))</f>
        <v/>
      </c>
      <c r="D56" s="70" t="n"/>
      <c r="E56" s="51">
        <f>IF(G56=1, IF(D56="Yes", "✓", IF(D56="Partial", "◐", IF(D56="Not Yet", "✗", ""))), "")</f>
        <v/>
      </c>
      <c r="F56" s="66" t="n"/>
      <c r="G56" s="47">
        <f>IFERROR(IF(MATCH(A56, Lookups!A:A, 0)&gt;0, 1, 0), 0)</f>
        <v/>
      </c>
      <c r="H56" s="47">
        <f>IFERROR(N(INDEX(Lookups!G:G, MATCH(A56, Lookups!A:A, 0))), 0)</f>
        <v/>
      </c>
      <c r="I56" s="47">
        <f>IFERROR(INDEX(Lookups!J:J, MATCH(A56, Lookups!A:A, 0)), "")</f>
        <v/>
      </c>
      <c r="J56" s="47">
        <f>IF(D56="Yes", TRUE, IF(D56="Partial", FALSE, IF(D56="Not Yet", FALSE, "")))</f>
        <v/>
      </c>
      <c r="K56" s="47">
        <f>IF(G56=0, "", IF(I56="3.5.3", COUNTIFS(Sub_Row_Parent_Range, "3.5.3", Pass_Flag_Range, TRUE)=4, J56))</f>
        <v/>
      </c>
      <c r="L56" s="47">
        <f>IF(G56=1, IF(K56=TRUE, 0, H56), 0)</f>
        <v/>
      </c>
      <c r="M56" s="47">
        <f>IFERROR(INDEX(Lookups!H:H, MATCH(A56, Lookups!A:A, 0)), "")</f>
        <v/>
      </c>
      <c r="N56" s="47">
        <f>IFERROR(INDEX(Lookups!B:B, MATCH(A56, Lookups!A:A, 0)), "")</f>
        <v/>
      </c>
      <c r="O56" s="47">
        <f>IF(G56=1, IF(K56=TRUE, "", IF(A56="3.12.4", -1, IF(AND(I56="3.5.3", A56&lt;&gt;"3.5.3a"), "", ROW()))), "")</f>
        <v/>
      </c>
      <c r="R56" s="27">
        <f>IF(G56=1, IF(INDEX(Lookups!A:A, COUNTIF($G$2:$G56,1)+1)=A56, 0, 1), 0)</f>
        <v/>
      </c>
    </row>
    <row r="57" ht="60" customHeight="1" s="28">
      <c r="A57" s="48" t="inlineStr">
        <is>
          <t>3.5.4</t>
        </is>
      </c>
      <c r="B57" s="50">
        <f>INDEX(Lookups!D:D, MATCH(A57, Lookups!A:A, 0))</f>
        <v/>
      </c>
      <c r="C57" s="50">
        <f>INDEX(Lookups!F:F, MATCH(A57, Lookups!A:A, 0))</f>
        <v/>
      </c>
      <c r="D57" s="70" t="n"/>
      <c r="E57" s="51">
        <f>IF(G57=1, IF(D57="Yes", "✓", IF(D57="Partial", "◐", IF(D57="Not Yet", "✗", ""))), "")</f>
        <v/>
      </c>
      <c r="F57" s="66" t="n"/>
      <c r="G57" s="47">
        <f>IFERROR(IF(MATCH(A57, Lookups!A:A, 0)&gt;0, 1, 0), 0)</f>
        <v/>
      </c>
      <c r="H57" s="47">
        <f>IFERROR(N(INDEX(Lookups!G:G, MATCH(A57, Lookups!A:A, 0))), 0)</f>
        <v/>
      </c>
      <c r="I57" s="47">
        <f>IFERROR(INDEX(Lookups!J:J, MATCH(A57, Lookups!A:A, 0)), "")</f>
        <v/>
      </c>
      <c r="J57" s="47">
        <f>IF(D57="Yes", TRUE, IF(D57="Partial", FALSE, IF(D57="Not Yet", FALSE, "")))</f>
        <v/>
      </c>
      <c r="K57" s="47">
        <f>IF(G57=0, "", IF(I57="3.5.3", COUNTIFS(Sub_Row_Parent_Range, "3.5.3", Pass_Flag_Range, TRUE)=4, J57))</f>
        <v/>
      </c>
      <c r="L57" s="47">
        <f>IF(G57=1, IF(K57=TRUE, 0, H57), 0)</f>
        <v/>
      </c>
      <c r="M57" s="47">
        <f>IFERROR(INDEX(Lookups!H:H, MATCH(A57, Lookups!A:A, 0)), "")</f>
        <v/>
      </c>
      <c r="N57" s="47">
        <f>IFERROR(INDEX(Lookups!B:B, MATCH(A57, Lookups!A:A, 0)), "")</f>
        <v/>
      </c>
      <c r="O57" s="47">
        <f>IF(G57=1, IF(K57=TRUE, "", IF(A57="3.12.4", -1, IF(AND(I57="3.5.3", A57&lt;&gt;"3.5.3a"), "", ROW()))), "")</f>
        <v/>
      </c>
      <c r="R57" s="27">
        <f>IF(G57=1, IF(INDEX(Lookups!A:A, COUNTIF($G$2:$G57,1)+1)=A57, 0, 1), 0)</f>
        <v/>
      </c>
    </row>
    <row r="58" ht="60" customHeight="1" s="28">
      <c r="A58" s="48" t="inlineStr">
        <is>
          <t>3.5.5</t>
        </is>
      </c>
      <c r="B58" s="50">
        <f>INDEX(Lookups!D:D, MATCH(A58, Lookups!A:A, 0))</f>
        <v/>
      </c>
      <c r="C58" s="50">
        <f>INDEX(Lookups!F:F, MATCH(A58, Lookups!A:A, 0))</f>
        <v/>
      </c>
      <c r="D58" s="70" t="n"/>
      <c r="E58" s="51">
        <f>IF(G58=1, IF(D58="Yes", "✓", IF(D58="Partial", "◐", IF(D58="Not Yet", "✗", ""))), "")</f>
        <v/>
      </c>
      <c r="F58" s="66" t="n"/>
      <c r="G58" s="47">
        <f>IFERROR(IF(MATCH(A58, Lookups!A:A, 0)&gt;0, 1, 0), 0)</f>
        <v/>
      </c>
      <c r="H58" s="47">
        <f>IFERROR(N(INDEX(Lookups!G:G, MATCH(A58, Lookups!A:A, 0))), 0)</f>
        <v/>
      </c>
      <c r="I58" s="47">
        <f>IFERROR(INDEX(Lookups!J:J, MATCH(A58, Lookups!A:A, 0)), "")</f>
        <v/>
      </c>
      <c r="J58" s="47">
        <f>IF(D58="Yes", TRUE, IF(D58="Partial", FALSE, IF(D58="Not Yet", FALSE, "")))</f>
        <v/>
      </c>
      <c r="K58" s="47">
        <f>IF(G58=0, "", IF(I58="3.5.3", COUNTIFS(Sub_Row_Parent_Range, "3.5.3", Pass_Flag_Range, TRUE)=4, J58))</f>
        <v/>
      </c>
      <c r="L58" s="47">
        <f>IF(G58=1, IF(K58=TRUE, 0, H58), 0)</f>
        <v/>
      </c>
      <c r="M58" s="47">
        <f>IFERROR(INDEX(Lookups!H:H, MATCH(A58, Lookups!A:A, 0)), "")</f>
        <v/>
      </c>
      <c r="N58" s="47">
        <f>IFERROR(INDEX(Lookups!B:B, MATCH(A58, Lookups!A:A, 0)), "")</f>
        <v/>
      </c>
      <c r="O58" s="47">
        <f>IF(G58=1, IF(K58=TRUE, "", IF(A58="3.12.4", -1, IF(AND(I58="3.5.3", A58&lt;&gt;"3.5.3a"), "", ROW()))), "")</f>
        <v/>
      </c>
      <c r="R58" s="27">
        <f>IF(G58=1, IF(INDEX(Lookups!A:A, COUNTIF($G$2:$G58,1)+1)=A58, 0, 1), 0)</f>
        <v/>
      </c>
    </row>
    <row r="59" ht="60" customHeight="1" s="28">
      <c r="A59" s="48" t="inlineStr">
        <is>
          <t>3.5.6</t>
        </is>
      </c>
      <c r="B59" s="50">
        <f>INDEX(Lookups!D:D, MATCH(A59, Lookups!A:A, 0))</f>
        <v/>
      </c>
      <c r="C59" s="50">
        <f>INDEX(Lookups!F:F, MATCH(A59, Lookups!A:A, 0))</f>
        <v/>
      </c>
      <c r="D59" s="70" t="n"/>
      <c r="E59" s="51">
        <f>IF(G59=1, IF(D59="Yes", "✓", IF(D59="Partial", "◐", IF(D59="Not Yet", "✗", ""))), "")</f>
        <v/>
      </c>
      <c r="F59" s="66" t="n"/>
      <c r="G59" s="47">
        <f>IFERROR(IF(MATCH(A59, Lookups!A:A, 0)&gt;0, 1, 0), 0)</f>
        <v/>
      </c>
      <c r="H59" s="47">
        <f>IFERROR(N(INDEX(Lookups!G:G, MATCH(A59, Lookups!A:A, 0))), 0)</f>
        <v/>
      </c>
      <c r="I59" s="47">
        <f>IFERROR(INDEX(Lookups!J:J, MATCH(A59, Lookups!A:A, 0)), "")</f>
        <v/>
      </c>
      <c r="J59" s="47">
        <f>IF(D59="Yes", TRUE, IF(D59="Partial", FALSE, IF(D59="Not Yet", FALSE, "")))</f>
        <v/>
      </c>
      <c r="K59" s="47">
        <f>IF(G59=0, "", IF(I59="3.5.3", COUNTIFS(Sub_Row_Parent_Range, "3.5.3", Pass_Flag_Range, TRUE)=4, J59))</f>
        <v/>
      </c>
      <c r="L59" s="47">
        <f>IF(G59=1, IF(K59=TRUE, 0, H59), 0)</f>
        <v/>
      </c>
      <c r="M59" s="47">
        <f>IFERROR(INDEX(Lookups!H:H, MATCH(A59, Lookups!A:A, 0)), "")</f>
        <v/>
      </c>
      <c r="N59" s="47">
        <f>IFERROR(INDEX(Lookups!B:B, MATCH(A59, Lookups!A:A, 0)), "")</f>
        <v/>
      </c>
      <c r="O59" s="47">
        <f>IF(G59=1, IF(K59=TRUE, "", IF(A59="3.12.4", -1, IF(AND(I59="3.5.3", A59&lt;&gt;"3.5.3a"), "", ROW()))), "")</f>
        <v/>
      </c>
      <c r="R59" s="27">
        <f>IF(G59=1, IF(INDEX(Lookups!A:A, COUNTIF($G$2:$G59,1)+1)=A59, 0, 1), 0)</f>
        <v/>
      </c>
    </row>
    <row r="60" ht="60" customHeight="1" s="28">
      <c r="A60" s="48" t="inlineStr">
        <is>
          <t>3.5.7</t>
        </is>
      </c>
      <c r="B60" s="50">
        <f>INDEX(Lookups!D:D, MATCH(A60, Lookups!A:A, 0))</f>
        <v/>
      </c>
      <c r="C60" s="50">
        <f>INDEX(Lookups!F:F, MATCH(A60, Lookups!A:A, 0))</f>
        <v/>
      </c>
      <c r="D60" s="70" t="n"/>
      <c r="E60" s="51">
        <f>IF(G60=1, IF(D60="Yes", "✓", IF(D60="Partial", "◐", IF(D60="Not Yet", "✗", ""))), "")</f>
        <v/>
      </c>
      <c r="F60" s="66" t="n"/>
      <c r="G60" s="47">
        <f>IFERROR(IF(MATCH(A60, Lookups!A:A, 0)&gt;0, 1, 0), 0)</f>
        <v/>
      </c>
      <c r="H60" s="47">
        <f>IFERROR(N(INDEX(Lookups!G:G, MATCH(A60, Lookups!A:A, 0))), 0)</f>
        <v/>
      </c>
      <c r="I60" s="47">
        <f>IFERROR(INDEX(Lookups!J:J, MATCH(A60, Lookups!A:A, 0)), "")</f>
        <v/>
      </c>
      <c r="J60" s="47">
        <f>IF(D60="Yes", TRUE, IF(D60="Partial", FALSE, IF(D60="Not Yet", FALSE, "")))</f>
        <v/>
      </c>
      <c r="K60" s="47">
        <f>IF(G60=0, "", IF(I60="3.5.3", COUNTIFS(Sub_Row_Parent_Range, "3.5.3", Pass_Flag_Range, TRUE)=4, J60))</f>
        <v/>
      </c>
      <c r="L60" s="47">
        <f>IF(G60=1, IF(K60=TRUE, 0, H60), 0)</f>
        <v/>
      </c>
      <c r="M60" s="47">
        <f>IFERROR(INDEX(Lookups!H:H, MATCH(A60, Lookups!A:A, 0)), "")</f>
        <v/>
      </c>
      <c r="N60" s="47">
        <f>IFERROR(INDEX(Lookups!B:B, MATCH(A60, Lookups!A:A, 0)), "")</f>
        <v/>
      </c>
      <c r="O60" s="47">
        <f>IF(G60=1, IF(K60=TRUE, "", IF(A60="3.12.4", -1, IF(AND(I60="3.5.3", A60&lt;&gt;"3.5.3a"), "", ROW()))), "")</f>
        <v/>
      </c>
      <c r="R60" s="27">
        <f>IF(G60=1, IF(INDEX(Lookups!A:A, COUNTIF($G$2:$G60,1)+1)=A60, 0, 1), 0)</f>
        <v/>
      </c>
    </row>
    <row r="61" ht="60" customHeight="1" s="28">
      <c r="A61" s="48" t="inlineStr">
        <is>
          <t>3.5.8</t>
        </is>
      </c>
      <c r="B61" s="50">
        <f>INDEX(Lookups!D:D, MATCH(A61, Lookups!A:A, 0))</f>
        <v/>
      </c>
      <c r="C61" s="50">
        <f>INDEX(Lookups!F:F, MATCH(A61, Lookups!A:A, 0))</f>
        <v/>
      </c>
      <c r="D61" s="70" t="n"/>
      <c r="E61" s="51">
        <f>IF(G61=1, IF(D61="Yes", "✓", IF(D61="Partial", "◐", IF(D61="Not Yet", "✗", ""))), "")</f>
        <v/>
      </c>
      <c r="F61" s="66" t="n"/>
      <c r="G61" s="47">
        <f>IFERROR(IF(MATCH(A61, Lookups!A:A, 0)&gt;0, 1, 0), 0)</f>
        <v/>
      </c>
      <c r="H61" s="47">
        <f>IFERROR(N(INDEX(Lookups!G:G, MATCH(A61, Lookups!A:A, 0))), 0)</f>
        <v/>
      </c>
      <c r="I61" s="47">
        <f>IFERROR(INDEX(Lookups!J:J, MATCH(A61, Lookups!A:A, 0)), "")</f>
        <v/>
      </c>
      <c r="J61" s="47">
        <f>IF(D61="Yes", TRUE, IF(D61="Partial", FALSE, IF(D61="Not Yet", FALSE, "")))</f>
        <v/>
      </c>
      <c r="K61" s="47">
        <f>IF(G61=0, "", IF(I61="3.5.3", COUNTIFS(Sub_Row_Parent_Range, "3.5.3", Pass_Flag_Range, TRUE)=4, J61))</f>
        <v/>
      </c>
      <c r="L61" s="47">
        <f>IF(G61=1, IF(K61=TRUE, 0, H61), 0)</f>
        <v/>
      </c>
      <c r="M61" s="47">
        <f>IFERROR(INDEX(Lookups!H:H, MATCH(A61, Lookups!A:A, 0)), "")</f>
        <v/>
      </c>
      <c r="N61" s="47">
        <f>IFERROR(INDEX(Lookups!B:B, MATCH(A61, Lookups!A:A, 0)), "")</f>
        <v/>
      </c>
      <c r="O61" s="47">
        <f>IF(G61=1, IF(K61=TRUE, "", IF(A61="3.12.4", -1, IF(AND(I61="3.5.3", A61&lt;&gt;"3.5.3a"), "", ROW()))), "")</f>
        <v/>
      </c>
      <c r="R61" s="27">
        <f>IF(G61=1, IF(INDEX(Lookups!A:A, COUNTIF($G$2:$G61,1)+1)=A61, 0, 1), 0)</f>
        <v/>
      </c>
    </row>
    <row r="62" ht="60" customHeight="1" s="28">
      <c r="A62" s="48" t="inlineStr">
        <is>
          <t>3.5.9</t>
        </is>
      </c>
      <c r="B62" s="50">
        <f>INDEX(Lookups!D:D, MATCH(A62, Lookups!A:A, 0))</f>
        <v/>
      </c>
      <c r="C62" s="50">
        <f>INDEX(Lookups!F:F, MATCH(A62, Lookups!A:A, 0))</f>
        <v/>
      </c>
      <c r="D62" s="70" t="n"/>
      <c r="E62" s="51">
        <f>IF(G62=1, IF(D62="Yes", "✓", IF(D62="Partial", "◐", IF(D62="Not Yet", "✗", ""))), "")</f>
        <v/>
      </c>
      <c r="F62" s="66" t="n"/>
      <c r="G62" s="47">
        <f>IFERROR(IF(MATCH(A62, Lookups!A:A, 0)&gt;0, 1, 0), 0)</f>
        <v/>
      </c>
      <c r="H62" s="47">
        <f>IFERROR(N(INDEX(Lookups!G:G, MATCH(A62, Lookups!A:A, 0))), 0)</f>
        <v/>
      </c>
      <c r="I62" s="47">
        <f>IFERROR(INDEX(Lookups!J:J, MATCH(A62, Lookups!A:A, 0)), "")</f>
        <v/>
      </c>
      <c r="J62" s="47">
        <f>IF(D62="Yes", TRUE, IF(D62="Partial", FALSE, IF(D62="Not Yet", FALSE, "")))</f>
        <v/>
      </c>
      <c r="K62" s="47">
        <f>IF(G62=0, "", IF(I62="3.5.3", COUNTIFS(Sub_Row_Parent_Range, "3.5.3", Pass_Flag_Range, TRUE)=4, J62))</f>
        <v/>
      </c>
      <c r="L62" s="47">
        <f>IF(G62=1, IF(K62=TRUE, 0, H62), 0)</f>
        <v/>
      </c>
      <c r="M62" s="47">
        <f>IFERROR(INDEX(Lookups!H:H, MATCH(A62, Lookups!A:A, 0)), "")</f>
        <v/>
      </c>
      <c r="N62" s="47">
        <f>IFERROR(INDEX(Lookups!B:B, MATCH(A62, Lookups!A:A, 0)), "")</f>
        <v/>
      </c>
      <c r="O62" s="47">
        <f>IF(G62=1, IF(K62=TRUE, "", IF(A62="3.12.4", -1, IF(AND(I62="3.5.3", A62&lt;&gt;"3.5.3a"), "", ROW()))), "")</f>
        <v/>
      </c>
      <c r="R62" s="27">
        <f>IF(G62=1, IF(INDEX(Lookups!A:A, COUNTIF($G$2:$G62,1)+1)=A62, 0, 1), 0)</f>
        <v/>
      </c>
    </row>
    <row r="63" ht="60" customHeight="1" s="28">
      <c r="A63" s="48" t="inlineStr">
        <is>
          <t>3.5.10</t>
        </is>
      </c>
      <c r="B63" s="50">
        <f>INDEX(Lookups!D:D, MATCH(A63, Lookups!A:A, 0))</f>
        <v/>
      </c>
      <c r="C63" s="50">
        <f>INDEX(Lookups!F:F, MATCH(A63, Lookups!A:A, 0))</f>
        <v/>
      </c>
      <c r="D63" s="70" t="n"/>
      <c r="E63" s="51">
        <f>IF(G63=1, IF(D63="Yes", "✓", IF(D63="Partial", "◐", IF(D63="Not Yet", "✗", ""))), "")</f>
        <v/>
      </c>
      <c r="F63" s="66" t="n"/>
      <c r="G63" s="47">
        <f>IFERROR(IF(MATCH(A63, Lookups!A:A, 0)&gt;0, 1, 0), 0)</f>
        <v/>
      </c>
      <c r="H63" s="47">
        <f>IFERROR(N(INDEX(Lookups!G:G, MATCH(A63, Lookups!A:A, 0))), 0)</f>
        <v/>
      </c>
      <c r="I63" s="47">
        <f>IFERROR(INDEX(Lookups!J:J, MATCH(A63, Lookups!A:A, 0)), "")</f>
        <v/>
      </c>
      <c r="J63" s="47">
        <f>IF(D63="Yes", TRUE, IF(D63="Partial", FALSE, IF(D63="Not Yet", FALSE, "")))</f>
        <v/>
      </c>
      <c r="K63" s="47">
        <f>IF(G63=0, "", IF(I63="3.5.3", COUNTIFS(Sub_Row_Parent_Range, "3.5.3", Pass_Flag_Range, TRUE)=4, J63))</f>
        <v/>
      </c>
      <c r="L63" s="47">
        <f>IF(G63=1, IF(K63=TRUE, 0, H63), 0)</f>
        <v/>
      </c>
      <c r="M63" s="47">
        <f>IFERROR(INDEX(Lookups!H:H, MATCH(A63, Lookups!A:A, 0)), "")</f>
        <v/>
      </c>
      <c r="N63" s="47">
        <f>IFERROR(INDEX(Lookups!B:B, MATCH(A63, Lookups!A:A, 0)), "")</f>
        <v/>
      </c>
      <c r="O63" s="47">
        <f>IF(G63=1, IF(K63=TRUE, "", IF(A63="3.12.4", -1, IF(AND(I63="3.5.3", A63&lt;&gt;"3.5.3a"), "", ROW()))), "")</f>
        <v/>
      </c>
      <c r="R63" s="27">
        <f>IF(G63=1, IF(INDEX(Lookups!A:A, COUNTIF($G$2:$G63,1)+1)=A63, 0, 1), 0)</f>
        <v/>
      </c>
    </row>
    <row r="64" ht="60" customHeight="1" s="28">
      <c r="A64" s="48" t="inlineStr">
        <is>
          <t>3.5.11</t>
        </is>
      </c>
      <c r="B64" s="50">
        <f>INDEX(Lookups!D:D, MATCH(A64, Lookups!A:A, 0))</f>
        <v/>
      </c>
      <c r="C64" s="50">
        <f>INDEX(Lookups!F:F, MATCH(A64, Lookups!A:A, 0))</f>
        <v/>
      </c>
      <c r="D64" s="70" t="n"/>
      <c r="E64" s="51">
        <f>IF(G64=1, IF(D64="Yes", "✓", IF(D64="Partial", "◐", IF(D64="Not Yet", "✗", ""))), "")</f>
        <v/>
      </c>
      <c r="F64" s="66" t="n"/>
      <c r="G64" s="47">
        <f>IFERROR(IF(MATCH(A64, Lookups!A:A, 0)&gt;0, 1, 0), 0)</f>
        <v/>
      </c>
      <c r="H64" s="47">
        <f>IFERROR(N(INDEX(Lookups!G:G, MATCH(A64, Lookups!A:A, 0))), 0)</f>
        <v/>
      </c>
      <c r="I64" s="47">
        <f>IFERROR(INDEX(Lookups!J:J, MATCH(A64, Lookups!A:A, 0)), "")</f>
        <v/>
      </c>
      <c r="J64" s="47">
        <f>IF(D64="Yes", TRUE, IF(D64="Partial", FALSE, IF(D64="Not Yet", FALSE, "")))</f>
        <v/>
      </c>
      <c r="K64" s="47">
        <f>IF(G64=0, "", IF(I64="3.5.3", COUNTIFS(Sub_Row_Parent_Range, "3.5.3", Pass_Flag_Range, TRUE)=4, J64))</f>
        <v/>
      </c>
      <c r="L64" s="47">
        <f>IF(G64=1, IF(K64=TRUE, 0, H64), 0)</f>
        <v/>
      </c>
      <c r="M64" s="47">
        <f>IFERROR(INDEX(Lookups!H:H, MATCH(A64, Lookups!A:A, 0)), "")</f>
        <v/>
      </c>
      <c r="N64" s="47">
        <f>IFERROR(INDEX(Lookups!B:B, MATCH(A64, Lookups!A:A, 0)), "")</f>
        <v/>
      </c>
      <c r="O64" s="47">
        <f>IF(G64=1, IF(K64=TRUE, "", IF(A64="3.12.4", -1, IF(AND(I64="3.5.3", A64&lt;&gt;"3.5.3a"), "", ROW()))), "")</f>
        <v/>
      </c>
      <c r="R64" s="27">
        <f>IF(G64=1, IF(INDEX(Lookups!A:A, COUNTIF($G$2:$G64,1)+1)=A64, 0, 1), 0)</f>
        <v/>
      </c>
    </row>
    <row r="65" ht="21.75" customHeight="1" s="28">
      <c r="A65" s="44" t="inlineStr">
        <is>
          <t>═══  3.6 — Incident Response  (3 questions)  ═══</t>
        </is>
      </c>
      <c r="B65" s="71" t="n"/>
      <c r="C65" s="44" t="n"/>
      <c r="D65" s="44" t="n"/>
      <c r="E65" s="45">
        <f>IF(G65=1, IF(D65="Yes", "✓", IF(D65="Partial", "◐", IF(D65="Not Yet", "✗", ""))), "")</f>
        <v/>
      </c>
      <c r="F65" s="72" t="n"/>
      <c r="G65" s="47">
        <f>IFERROR(IF(MATCH(A65, Lookups!A:A, 0)&gt;0, 1, 0), 0)</f>
        <v/>
      </c>
      <c r="H65" s="47">
        <f>IFERROR(N(INDEX(Lookups!G:G, MATCH(A65, Lookups!A:A, 0))), 0)</f>
        <v/>
      </c>
      <c r="I65" s="47">
        <f>IFERROR(INDEX(Lookups!J:J, MATCH(A65, Lookups!A:A, 0)), "")</f>
        <v/>
      </c>
      <c r="J65" s="47">
        <f>IF(D65="Yes", TRUE, IF(D65="Partial", FALSE, IF(D65="Not Yet", FALSE, "")))</f>
        <v/>
      </c>
      <c r="K65" s="47">
        <f>IF(G65=0, "", IF(I65="3.5.3", COUNTIFS(Sub_Row_Parent_Range, "3.5.3", Pass_Flag_Range, TRUE)=4, J65))</f>
        <v/>
      </c>
      <c r="L65" s="47">
        <f>IF(G65=1, IF(K65=TRUE, 0, H65), 0)</f>
        <v/>
      </c>
      <c r="M65" s="47">
        <f>IFERROR(INDEX(Lookups!H:H, MATCH(A65, Lookups!A:A, 0)), "")</f>
        <v/>
      </c>
      <c r="N65" s="47">
        <f>IFERROR(INDEX(Lookups!B:B, MATCH(A65, Lookups!A:A, 0)), "")</f>
        <v/>
      </c>
      <c r="O65" s="47">
        <f>IF(G65=1, IF(K65=TRUE, "", IF(A65="3.12.4", -1, IF(AND(I65="3.5.3", A65&lt;&gt;"3.5.3a"), "", ROW()))), "")</f>
        <v/>
      </c>
      <c r="R65" s="27">
        <f>IF(G65=1, IF(INDEX(Lookups!A:A, COUNTIF($G$2:$G65,1)+1)=A65, 0, 1), 0)</f>
        <v/>
      </c>
    </row>
    <row r="66" ht="145" customHeight="1" s="28">
      <c r="A66" s="48" t="inlineStr">
        <is>
          <t>3.6.1</t>
        </is>
      </c>
      <c r="B66" s="50">
        <f>INDEX(Lookups!D:D, MATCH(A66, Lookups!A:A, 0))</f>
        <v/>
      </c>
      <c r="C66" s="50">
        <f>INDEX(Lookups!F:F, MATCH(A66, Lookups!A:A, 0))</f>
        <v/>
      </c>
      <c r="D66" s="70" t="n"/>
      <c r="E66" s="51">
        <f>IF(G66=1, IF(D66="Yes", "✓", IF(D66="Partial", "◐", IF(D66="Not Yet", "✗", ""))), "")</f>
        <v/>
      </c>
      <c r="F66" s="66" t="n"/>
      <c r="G66" s="47">
        <f>IFERROR(IF(MATCH(A66, Lookups!A:A, 0)&gt;0, 1, 0), 0)</f>
        <v/>
      </c>
      <c r="H66" s="47">
        <f>IFERROR(N(INDEX(Lookups!G:G, MATCH(A66, Lookups!A:A, 0))), 0)</f>
        <v/>
      </c>
      <c r="I66" s="47">
        <f>IFERROR(INDEX(Lookups!J:J, MATCH(A66, Lookups!A:A, 0)), "")</f>
        <v/>
      </c>
      <c r="J66" s="47">
        <f>IF(D66="Yes", TRUE, IF(D66="Partial", FALSE, IF(D66="Not Yet", FALSE, "")))</f>
        <v/>
      </c>
      <c r="K66" s="47">
        <f>IF(G66=0, "", IF(I66="3.5.3", COUNTIFS(Sub_Row_Parent_Range, "3.5.3", Pass_Flag_Range, TRUE)=4, J66))</f>
        <v/>
      </c>
      <c r="L66" s="47">
        <f>IF(G66=1, IF(K66=TRUE, 0, H66), 0)</f>
        <v/>
      </c>
      <c r="M66" s="47">
        <f>IFERROR(INDEX(Lookups!H:H, MATCH(A66, Lookups!A:A, 0)), "")</f>
        <v/>
      </c>
      <c r="N66" s="47">
        <f>IFERROR(INDEX(Lookups!B:B, MATCH(A66, Lookups!A:A, 0)), "")</f>
        <v/>
      </c>
      <c r="O66" s="47">
        <f>IF(G66=1, IF(K66=TRUE, "", IF(A66="3.12.4", -1, IF(AND(I66="3.5.3", A66&lt;&gt;"3.5.3a"), "", ROW()))), "")</f>
        <v/>
      </c>
      <c r="R66" s="27">
        <f>IF(G66=1, IF(INDEX(Lookups!A:A, COUNTIF($G$2:$G66,1)+1)=A66, 0, 1), 0)</f>
        <v/>
      </c>
    </row>
    <row r="67" ht="188.5" customHeight="1" s="28">
      <c r="A67" s="48" t="inlineStr">
        <is>
          <t>3.6.2</t>
        </is>
      </c>
      <c r="B67" s="50">
        <f>INDEX(Lookups!D:D, MATCH(A67, Lookups!A:A, 0))</f>
        <v/>
      </c>
      <c r="C67" s="50">
        <f>INDEX(Lookups!F:F, MATCH(A67, Lookups!A:A, 0))</f>
        <v/>
      </c>
      <c r="D67" s="70" t="n"/>
      <c r="E67" s="51">
        <f>IF(G67=1, IF(D67="Yes", "✓", IF(D67="Partial", "◐", IF(D67="Not Yet", "✗", ""))), "")</f>
        <v/>
      </c>
      <c r="F67" s="66" t="n"/>
      <c r="G67" s="47">
        <f>IFERROR(IF(MATCH(A67, Lookups!A:A, 0)&gt;0, 1, 0), 0)</f>
        <v/>
      </c>
      <c r="H67" s="47">
        <f>IFERROR(N(INDEX(Lookups!G:G, MATCH(A67, Lookups!A:A, 0))), 0)</f>
        <v/>
      </c>
      <c r="I67" s="47">
        <f>IFERROR(INDEX(Lookups!J:J, MATCH(A67, Lookups!A:A, 0)), "")</f>
        <v/>
      </c>
      <c r="J67" s="47">
        <f>IF(D67="Yes", TRUE, IF(D67="Partial", FALSE, IF(D67="Not Yet", FALSE, "")))</f>
        <v/>
      </c>
      <c r="K67" s="47">
        <f>IF(G67=0, "", IF(I67="3.5.3", COUNTIFS(Sub_Row_Parent_Range, "3.5.3", Pass_Flag_Range, TRUE)=4, J67))</f>
        <v/>
      </c>
      <c r="L67" s="47">
        <f>IF(G67=1, IF(K67=TRUE, 0, H67), 0)</f>
        <v/>
      </c>
      <c r="M67" s="47">
        <f>IFERROR(INDEX(Lookups!H:H, MATCH(A67, Lookups!A:A, 0)), "")</f>
        <v/>
      </c>
      <c r="N67" s="47">
        <f>IFERROR(INDEX(Lookups!B:B, MATCH(A67, Lookups!A:A, 0)), "")</f>
        <v/>
      </c>
      <c r="O67" s="47">
        <f>IF(G67=1, IF(K67=TRUE, "", IF(A67="3.12.4", -1, IF(AND(I67="3.5.3", A67&lt;&gt;"3.5.3a"), "", ROW()))), "")</f>
        <v/>
      </c>
      <c r="R67" s="27">
        <f>IF(G67=1, IF(INDEX(Lookups!A:A, COUNTIF($G$2:$G67,1)+1)=A67, 0, 1), 0)</f>
        <v/>
      </c>
    </row>
    <row r="68" ht="116" customHeight="1" s="28">
      <c r="A68" s="48" t="inlineStr">
        <is>
          <t>3.6.3</t>
        </is>
      </c>
      <c r="B68" s="50">
        <f>INDEX(Lookups!D:D, MATCH(A68, Lookups!A:A, 0))</f>
        <v/>
      </c>
      <c r="C68" s="50">
        <f>INDEX(Lookups!F:F, MATCH(A68, Lookups!A:A, 0))</f>
        <v/>
      </c>
      <c r="D68" s="70" t="n"/>
      <c r="E68" s="51">
        <f>IF(G68=1, IF(D68="Yes", "✓", IF(D68="Partial", "◐", IF(D68="Not Yet", "✗", ""))), "")</f>
        <v/>
      </c>
      <c r="F68" s="66" t="n"/>
      <c r="G68" s="47">
        <f>IFERROR(IF(MATCH(A68, Lookups!A:A, 0)&gt;0, 1, 0), 0)</f>
        <v/>
      </c>
      <c r="H68" s="47">
        <f>IFERROR(N(INDEX(Lookups!G:G, MATCH(A68, Lookups!A:A, 0))), 0)</f>
        <v/>
      </c>
      <c r="I68" s="47">
        <f>IFERROR(INDEX(Lookups!J:J, MATCH(A68, Lookups!A:A, 0)), "")</f>
        <v/>
      </c>
      <c r="J68" s="47">
        <f>IF(D68="Yes", TRUE, IF(D68="Partial", FALSE, IF(D68="Not Yet", FALSE, "")))</f>
        <v/>
      </c>
      <c r="K68" s="47">
        <f>IF(G68=0, "", IF(I68="3.5.3", COUNTIFS(Sub_Row_Parent_Range, "3.5.3", Pass_Flag_Range, TRUE)=4, J68))</f>
        <v/>
      </c>
      <c r="L68" s="47">
        <f>IF(G68=1, IF(K68=TRUE, 0, H68), 0)</f>
        <v/>
      </c>
      <c r="M68" s="47">
        <f>IFERROR(INDEX(Lookups!H:H, MATCH(A68, Lookups!A:A, 0)), "")</f>
        <v/>
      </c>
      <c r="N68" s="47">
        <f>IFERROR(INDEX(Lookups!B:B, MATCH(A68, Lookups!A:A, 0)), "")</f>
        <v/>
      </c>
      <c r="O68" s="47">
        <f>IF(G68=1, IF(K68=TRUE, "", IF(A68="3.12.4", -1, IF(AND(I68="3.5.3", A68&lt;&gt;"3.5.3a"), "", ROW()))), "")</f>
        <v/>
      </c>
      <c r="R68" s="27">
        <f>IF(G68=1, IF(INDEX(Lookups!A:A, COUNTIF($G$2:$G68,1)+1)=A68, 0, 1), 0)</f>
        <v/>
      </c>
    </row>
    <row r="69" ht="21.75" customHeight="1" s="28">
      <c r="A69" s="44" t="inlineStr">
        <is>
          <t>═══  3.7 — Maintenance  (6 questions)  ═══</t>
        </is>
      </c>
      <c r="B69" s="71" t="n"/>
      <c r="C69" s="44" t="n"/>
      <c r="D69" s="44" t="n"/>
      <c r="E69" s="45">
        <f>IF(G69=1, IF(D69="Yes", "✓", IF(D69="Partial", "◐", IF(D69="Not Yet", "✗", ""))), "")</f>
        <v/>
      </c>
      <c r="F69" s="72" t="n"/>
      <c r="G69" s="47">
        <f>IFERROR(IF(MATCH(A69, Lookups!A:A, 0)&gt;0, 1, 0), 0)</f>
        <v/>
      </c>
      <c r="H69" s="47">
        <f>IFERROR(N(INDEX(Lookups!G:G, MATCH(A69, Lookups!A:A, 0))), 0)</f>
        <v/>
      </c>
      <c r="I69" s="47">
        <f>IFERROR(INDEX(Lookups!J:J, MATCH(A69, Lookups!A:A, 0)), "")</f>
        <v/>
      </c>
      <c r="J69" s="47">
        <f>IF(D69="Yes", TRUE, IF(D69="Partial", FALSE, IF(D69="Not Yet", FALSE, "")))</f>
        <v/>
      </c>
      <c r="K69" s="47">
        <f>IF(G69=0, "", IF(I69="3.5.3", COUNTIFS(Sub_Row_Parent_Range, "3.5.3", Pass_Flag_Range, TRUE)=4, J69))</f>
        <v/>
      </c>
      <c r="L69" s="47">
        <f>IF(G69=1, IF(K69=TRUE, 0, H69), 0)</f>
        <v/>
      </c>
      <c r="M69" s="47">
        <f>IFERROR(INDEX(Lookups!H:H, MATCH(A69, Lookups!A:A, 0)), "")</f>
        <v/>
      </c>
      <c r="N69" s="47">
        <f>IFERROR(INDEX(Lookups!B:B, MATCH(A69, Lookups!A:A, 0)), "")</f>
        <v/>
      </c>
      <c r="O69" s="47">
        <f>IF(G69=1, IF(K69=TRUE, "", IF(A69="3.12.4", -1, IF(AND(I69="3.5.3", A69&lt;&gt;"3.5.3a"), "", ROW()))), "")</f>
        <v/>
      </c>
      <c r="R69" s="27">
        <f>IF(G69=1, IF(INDEX(Lookups!A:A, COUNTIF($G$2:$G69,1)+1)=A69, 0, 1), 0)</f>
        <v/>
      </c>
    </row>
    <row r="70" ht="101.5" customHeight="1" s="28">
      <c r="A70" s="48" t="inlineStr">
        <is>
          <t>3.7.1</t>
        </is>
      </c>
      <c r="B70" s="50">
        <f>INDEX(Lookups!D:D, MATCH(A70, Lookups!A:A, 0))</f>
        <v/>
      </c>
      <c r="C70" s="50">
        <f>INDEX(Lookups!F:F, MATCH(A70, Lookups!A:A, 0))</f>
        <v/>
      </c>
      <c r="D70" s="70" t="n"/>
      <c r="E70" s="51">
        <f>IF(G70=1, IF(D70="Yes", "✓", IF(D70="Partial", "◐", IF(D70="Not Yet", "✗", ""))), "")</f>
        <v/>
      </c>
      <c r="F70" s="66" t="n"/>
      <c r="G70" s="47">
        <f>IFERROR(IF(MATCH(A70, Lookups!A:A, 0)&gt;0, 1, 0), 0)</f>
        <v/>
      </c>
      <c r="H70" s="47">
        <f>IFERROR(N(INDEX(Lookups!G:G, MATCH(A70, Lookups!A:A, 0))), 0)</f>
        <v/>
      </c>
      <c r="I70" s="47">
        <f>IFERROR(INDEX(Lookups!J:J, MATCH(A70, Lookups!A:A, 0)), "")</f>
        <v/>
      </c>
      <c r="J70" s="47">
        <f>IF(D70="Yes", TRUE, IF(D70="Partial", FALSE, IF(D70="Not Yet", FALSE, "")))</f>
        <v/>
      </c>
      <c r="K70" s="47">
        <f>IF(G70=0, "", IF(I70="3.5.3", COUNTIFS(Sub_Row_Parent_Range, "3.5.3", Pass_Flag_Range, TRUE)=4, J70))</f>
        <v/>
      </c>
      <c r="L70" s="47">
        <f>IF(G70=1, IF(K70=TRUE, 0, H70), 0)</f>
        <v/>
      </c>
      <c r="M70" s="47">
        <f>IFERROR(INDEX(Lookups!H:H, MATCH(A70, Lookups!A:A, 0)), "")</f>
        <v/>
      </c>
      <c r="N70" s="47">
        <f>IFERROR(INDEX(Lookups!B:B, MATCH(A70, Lookups!A:A, 0)), "")</f>
        <v/>
      </c>
      <c r="O70" s="47">
        <f>IF(G70=1, IF(K70=TRUE, "", IF(A70="3.12.4", -1, IF(AND(I70="3.5.3", A70&lt;&gt;"3.5.3a"), "", ROW()))), "")</f>
        <v/>
      </c>
      <c r="R70" s="27">
        <f>IF(G70=1, IF(INDEX(Lookups!A:A, COUNTIF($G$2:$G70,1)+1)=A70, 0, 1), 0)</f>
        <v/>
      </c>
    </row>
    <row r="71" ht="130.5" customHeight="1" s="28">
      <c r="A71" s="48" t="inlineStr">
        <is>
          <t>3.7.2</t>
        </is>
      </c>
      <c r="B71" s="50">
        <f>INDEX(Lookups!D:D, MATCH(A71, Lookups!A:A, 0))</f>
        <v/>
      </c>
      <c r="C71" s="50">
        <f>INDEX(Lookups!F:F, MATCH(A71, Lookups!A:A, 0))</f>
        <v/>
      </c>
      <c r="D71" s="70" t="n"/>
      <c r="E71" s="51">
        <f>IF(G71=1, IF(D71="Yes", "✓", IF(D71="Partial", "◐", IF(D71="Not Yet", "✗", ""))), "")</f>
        <v/>
      </c>
      <c r="F71" s="66" t="n"/>
      <c r="G71" s="47">
        <f>IFERROR(IF(MATCH(A71, Lookups!A:A, 0)&gt;0, 1, 0), 0)</f>
        <v/>
      </c>
      <c r="H71" s="47">
        <f>IFERROR(N(INDEX(Lookups!G:G, MATCH(A71, Lookups!A:A, 0))), 0)</f>
        <v/>
      </c>
      <c r="I71" s="47">
        <f>IFERROR(INDEX(Lookups!J:J, MATCH(A71, Lookups!A:A, 0)), "")</f>
        <v/>
      </c>
      <c r="J71" s="47">
        <f>IF(D71="Yes", TRUE, IF(D71="Partial", FALSE, IF(D71="Not Yet", FALSE, "")))</f>
        <v/>
      </c>
      <c r="K71" s="47">
        <f>IF(G71=0, "", IF(I71="3.5.3", COUNTIFS(Sub_Row_Parent_Range, "3.5.3", Pass_Flag_Range, TRUE)=4, J71))</f>
        <v/>
      </c>
      <c r="L71" s="47">
        <f>IF(G71=1, IF(K71=TRUE, 0, H71), 0)</f>
        <v/>
      </c>
      <c r="M71" s="47">
        <f>IFERROR(INDEX(Lookups!H:H, MATCH(A71, Lookups!A:A, 0)), "")</f>
        <v/>
      </c>
      <c r="N71" s="47">
        <f>IFERROR(INDEX(Lookups!B:B, MATCH(A71, Lookups!A:A, 0)), "")</f>
        <v/>
      </c>
      <c r="O71" s="47">
        <f>IF(G71=1, IF(K71=TRUE, "", IF(A71="3.12.4", -1, IF(AND(I71="3.5.3", A71&lt;&gt;"3.5.3a"), "", ROW()))), "")</f>
        <v/>
      </c>
      <c r="R71" s="27">
        <f>IF(G71=1, IF(INDEX(Lookups!A:A, COUNTIF($G$2:$G71,1)+1)=A71, 0, 1), 0)</f>
        <v/>
      </c>
    </row>
    <row r="72" ht="101.5" customHeight="1" s="28">
      <c r="A72" s="48" t="inlineStr">
        <is>
          <t>3.7.3</t>
        </is>
      </c>
      <c r="B72" s="50">
        <f>INDEX(Lookups!D:D, MATCH(A72, Lookups!A:A, 0))</f>
        <v/>
      </c>
      <c r="C72" s="50">
        <f>INDEX(Lookups!F:F, MATCH(A72, Lookups!A:A, 0))</f>
        <v/>
      </c>
      <c r="D72" s="70" t="n"/>
      <c r="E72" s="51">
        <f>IF(G72=1, IF(D72="Yes", "✓", IF(D72="Partial", "◐", IF(D72="Not Yet", "✗", ""))), "")</f>
        <v/>
      </c>
      <c r="F72" s="66" t="n"/>
      <c r="G72" s="47">
        <f>IFERROR(IF(MATCH(A72, Lookups!A:A, 0)&gt;0, 1, 0), 0)</f>
        <v/>
      </c>
      <c r="H72" s="47">
        <f>IFERROR(N(INDEX(Lookups!G:G, MATCH(A72, Lookups!A:A, 0))), 0)</f>
        <v/>
      </c>
      <c r="I72" s="47">
        <f>IFERROR(INDEX(Lookups!J:J, MATCH(A72, Lookups!A:A, 0)), "")</f>
        <v/>
      </c>
      <c r="J72" s="47">
        <f>IF(D72="Yes", TRUE, IF(D72="Partial", FALSE, IF(D72="Not Yet", FALSE, "")))</f>
        <v/>
      </c>
      <c r="K72" s="47">
        <f>IF(G72=0, "", IF(I72="3.5.3", COUNTIFS(Sub_Row_Parent_Range, "3.5.3", Pass_Flag_Range, TRUE)=4, J72))</f>
        <v/>
      </c>
      <c r="L72" s="47">
        <f>IF(G72=1, IF(K72=TRUE, 0, H72), 0)</f>
        <v/>
      </c>
      <c r="M72" s="47">
        <f>IFERROR(INDEX(Lookups!H:H, MATCH(A72, Lookups!A:A, 0)), "")</f>
        <v/>
      </c>
      <c r="N72" s="47">
        <f>IFERROR(INDEX(Lookups!B:B, MATCH(A72, Lookups!A:A, 0)), "")</f>
        <v/>
      </c>
      <c r="O72" s="47">
        <f>IF(G72=1, IF(K72=TRUE, "", IF(A72="3.12.4", -1, IF(AND(I72="3.5.3", A72&lt;&gt;"3.5.3a"), "", ROW()))), "")</f>
        <v/>
      </c>
      <c r="R72" s="27">
        <f>IF(G72=1, IF(INDEX(Lookups!A:A, COUNTIF($G$2:$G72,1)+1)=A72, 0, 1), 0)</f>
        <v/>
      </c>
    </row>
    <row r="73" ht="101.5" customHeight="1" s="28">
      <c r="A73" s="48" t="inlineStr">
        <is>
          <t>3.7.4</t>
        </is>
      </c>
      <c r="B73" s="50">
        <f>INDEX(Lookups!D:D, MATCH(A73, Lookups!A:A, 0))</f>
        <v/>
      </c>
      <c r="C73" s="50">
        <f>INDEX(Lookups!F:F, MATCH(A73, Lookups!A:A, 0))</f>
        <v/>
      </c>
      <c r="D73" s="70" t="n"/>
      <c r="E73" s="51">
        <f>IF(G73=1, IF(D73="Yes", "✓", IF(D73="Partial", "◐", IF(D73="Not Yet", "✗", ""))), "")</f>
        <v/>
      </c>
      <c r="F73" s="66" t="n"/>
      <c r="G73" s="47">
        <f>IFERROR(IF(MATCH(A73, Lookups!A:A, 0)&gt;0, 1, 0), 0)</f>
        <v/>
      </c>
      <c r="H73" s="47">
        <f>IFERROR(N(INDEX(Lookups!G:G, MATCH(A73, Lookups!A:A, 0))), 0)</f>
        <v/>
      </c>
      <c r="I73" s="47">
        <f>IFERROR(INDEX(Lookups!J:J, MATCH(A73, Lookups!A:A, 0)), "")</f>
        <v/>
      </c>
      <c r="J73" s="47">
        <f>IF(D73="Yes", TRUE, IF(D73="Partial", FALSE, IF(D73="Not Yet", FALSE, "")))</f>
        <v/>
      </c>
      <c r="K73" s="47">
        <f>IF(G73=0, "", IF(I73="3.5.3", COUNTIFS(Sub_Row_Parent_Range, "3.5.3", Pass_Flag_Range, TRUE)=4, J73))</f>
        <v/>
      </c>
      <c r="L73" s="47">
        <f>IF(G73=1, IF(K73=TRUE, 0, H73), 0)</f>
        <v/>
      </c>
      <c r="M73" s="47">
        <f>IFERROR(INDEX(Lookups!H:H, MATCH(A73, Lookups!A:A, 0)), "")</f>
        <v/>
      </c>
      <c r="N73" s="47">
        <f>IFERROR(INDEX(Lookups!B:B, MATCH(A73, Lookups!A:A, 0)), "")</f>
        <v/>
      </c>
      <c r="O73" s="47">
        <f>IF(G73=1, IF(K73=TRUE, "", IF(A73="3.12.4", -1, IF(AND(I73="3.5.3", A73&lt;&gt;"3.5.3a"), "", ROW()))), "")</f>
        <v/>
      </c>
      <c r="R73" s="27">
        <f>IF(G73=1, IF(INDEX(Lookups!A:A, COUNTIF($G$2:$G73,1)+1)=A73, 0, 1), 0)</f>
        <v/>
      </c>
    </row>
    <row r="74" ht="130.5" customHeight="1" s="28">
      <c r="A74" s="48" t="inlineStr">
        <is>
          <t>3.7.5</t>
        </is>
      </c>
      <c r="B74" s="50">
        <f>INDEX(Lookups!D:D, MATCH(A74, Lookups!A:A, 0))</f>
        <v/>
      </c>
      <c r="C74" s="50">
        <f>INDEX(Lookups!F:F, MATCH(A74, Lookups!A:A, 0))</f>
        <v/>
      </c>
      <c r="D74" s="70" t="n"/>
      <c r="E74" s="51">
        <f>IF(G74=1, IF(D74="Yes", "✓", IF(D74="Partial", "◐", IF(D74="Not Yet", "✗", ""))), "")</f>
        <v/>
      </c>
      <c r="F74" s="66" t="n"/>
      <c r="G74" s="47">
        <f>IFERROR(IF(MATCH(A74, Lookups!A:A, 0)&gt;0, 1, 0), 0)</f>
        <v/>
      </c>
      <c r="H74" s="47">
        <f>IFERROR(N(INDEX(Lookups!G:G, MATCH(A74, Lookups!A:A, 0))), 0)</f>
        <v/>
      </c>
      <c r="I74" s="47">
        <f>IFERROR(INDEX(Lookups!J:J, MATCH(A74, Lookups!A:A, 0)), "")</f>
        <v/>
      </c>
      <c r="J74" s="47">
        <f>IF(D74="Yes", TRUE, IF(D74="Partial", FALSE, IF(D74="Not Yet", FALSE, "")))</f>
        <v/>
      </c>
      <c r="K74" s="47">
        <f>IF(G74=0, "", IF(I74="3.5.3", COUNTIFS(Sub_Row_Parent_Range, "3.5.3", Pass_Flag_Range, TRUE)=4, J74))</f>
        <v/>
      </c>
      <c r="L74" s="47">
        <f>IF(G74=1, IF(K74=TRUE, 0, H74), 0)</f>
        <v/>
      </c>
      <c r="M74" s="47">
        <f>IFERROR(INDEX(Lookups!H:H, MATCH(A74, Lookups!A:A, 0)), "")</f>
        <v/>
      </c>
      <c r="N74" s="47">
        <f>IFERROR(INDEX(Lookups!B:B, MATCH(A74, Lookups!A:A, 0)), "")</f>
        <v/>
      </c>
      <c r="O74" s="47">
        <f>IF(G74=1, IF(K74=TRUE, "", IF(A74="3.12.4", -1, IF(AND(I74="3.5.3", A74&lt;&gt;"3.5.3a"), "", ROW()))), "")</f>
        <v/>
      </c>
      <c r="R74" s="27">
        <f>IF(G74=1, IF(INDEX(Lookups!A:A, COUNTIF($G$2:$G74,1)+1)=A74, 0, 1), 0)</f>
        <v/>
      </c>
    </row>
    <row r="75" ht="116" customHeight="1" s="28">
      <c r="A75" s="48" t="inlineStr">
        <is>
          <t>3.7.6</t>
        </is>
      </c>
      <c r="B75" s="50">
        <f>INDEX(Lookups!D:D, MATCH(A75, Lookups!A:A, 0))</f>
        <v/>
      </c>
      <c r="C75" s="50">
        <f>INDEX(Lookups!F:F, MATCH(A75, Lookups!A:A, 0))</f>
        <v/>
      </c>
      <c r="D75" s="70" t="n"/>
      <c r="E75" s="51">
        <f>IF(G75=1, IF(D75="Yes", "✓", IF(D75="Partial", "◐", IF(D75="Not Yet", "✗", ""))), "")</f>
        <v/>
      </c>
      <c r="F75" s="66" t="n"/>
      <c r="G75" s="47">
        <f>IFERROR(IF(MATCH(A75, Lookups!A:A, 0)&gt;0, 1, 0), 0)</f>
        <v/>
      </c>
      <c r="H75" s="47">
        <f>IFERROR(N(INDEX(Lookups!G:G, MATCH(A75, Lookups!A:A, 0))), 0)</f>
        <v/>
      </c>
      <c r="I75" s="47">
        <f>IFERROR(INDEX(Lookups!J:J, MATCH(A75, Lookups!A:A, 0)), "")</f>
        <v/>
      </c>
      <c r="J75" s="47">
        <f>IF(D75="Yes", TRUE, IF(D75="Partial", FALSE, IF(D75="Not Yet", FALSE, "")))</f>
        <v/>
      </c>
      <c r="K75" s="47">
        <f>IF(G75=0, "", IF(I75="3.5.3", COUNTIFS(Sub_Row_Parent_Range, "3.5.3", Pass_Flag_Range, TRUE)=4, J75))</f>
        <v/>
      </c>
      <c r="L75" s="47">
        <f>IF(G75=1, IF(K75=TRUE, 0, H75), 0)</f>
        <v/>
      </c>
      <c r="M75" s="47">
        <f>IFERROR(INDEX(Lookups!H:H, MATCH(A75, Lookups!A:A, 0)), "")</f>
        <v/>
      </c>
      <c r="N75" s="47">
        <f>IFERROR(INDEX(Lookups!B:B, MATCH(A75, Lookups!A:A, 0)), "")</f>
        <v/>
      </c>
      <c r="O75" s="47">
        <f>IF(G75=1, IF(K75=TRUE, "", IF(A75="3.12.4", -1, IF(AND(I75="3.5.3", A75&lt;&gt;"3.5.3a"), "", ROW()))), "")</f>
        <v/>
      </c>
      <c r="R75" s="27">
        <f>IF(G75=1, IF(INDEX(Lookups!A:A, COUNTIF($G$2:$G75,1)+1)=A75, 0, 1), 0)</f>
        <v/>
      </c>
    </row>
    <row r="76" ht="21.75" customHeight="1" s="28">
      <c r="A76" s="44" t="inlineStr">
        <is>
          <t>═══  3.8 — Media Protection  (9 questions)  ═══</t>
        </is>
      </c>
      <c r="B76" s="71" t="n"/>
      <c r="C76" s="44" t="n"/>
      <c r="D76" s="44" t="n"/>
      <c r="E76" s="45">
        <f>IF(G76=1, IF(D76="Yes", "✓", IF(D76="Partial", "◐", IF(D76="Not Yet", "✗", ""))), "")</f>
        <v/>
      </c>
      <c r="F76" s="72" t="n"/>
      <c r="G76" s="47">
        <f>IFERROR(IF(MATCH(A76, Lookups!A:A, 0)&gt;0, 1, 0), 0)</f>
        <v/>
      </c>
      <c r="H76" s="47">
        <f>IFERROR(N(INDEX(Lookups!G:G, MATCH(A76, Lookups!A:A, 0))), 0)</f>
        <v/>
      </c>
      <c r="I76" s="47">
        <f>IFERROR(INDEX(Lookups!J:J, MATCH(A76, Lookups!A:A, 0)), "")</f>
        <v/>
      </c>
      <c r="J76" s="47">
        <f>IF(D76="Yes", TRUE, IF(D76="Partial", FALSE, IF(D76="Not Yet", FALSE, "")))</f>
        <v/>
      </c>
      <c r="K76" s="47">
        <f>IF(G76=0, "", IF(I76="3.5.3", COUNTIFS(Sub_Row_Parent_Range, "3.5.3", Pass_Flag_Range, TRUE)=4, J76))</f>
        <v/>
      </c>
      <c r="L76" s="47">
        <f>IF(G76=1, IF(K76=TRUE, 0, H76), 0)</f>
        <v/>
      </c>
      <c r="M76" s="47">
        <f>IFERROR(INDEX(Lookups!H:H, MATCH(A76, Lookups!A:A, 0)), "")</f>
        <v/>
      </c>
      <c r="N76" s="47">
        <f>IFERROR(INDEX(Lookups!B:B, MATCH(A76, Lookups!A:A, 0)), "")</f>
        <v/>
      </c>
      <c r="O76" s="47">
        <f>IF(G76=1, IF(K76=TRUE, "", IF(A76="3.12.4", -1, IF(AND(I76="3.5.3", A76&lt;&gt;"3.5.3a"), "", ROW()))), "")</f>
        <v/>
      </c>
      <c r="R76" s="27">
        <f>IF(G76=1, IF(INDEX(Lookups!A:A, COUNTIF($G$2:$G76,1)+1)=A76, 0, 1), 0)</f>
        <v/>
      </c>
    </row>
    <row r="77" ht="101.5" customHeight="1" s="28">
      <c r="A77" s="48" t="inlineStr">
        <is>
          <t>3.8.1</t>
        </is>
      </c>
      <c r="B77" s="50">
        <f>INDEX(Lookups!D:D, MATCH(A77, Lookups!A:A, 0))</f>
        <v/>
      </c>
      <c r="C77" s="50">
        <f>INDEX(Lookups!F:F, MATCH(A77, Lookups!A:A, 0))</f>
        <v/>
      </c>
      <c r="D77" s="70" t="n"/>
      <c r="E77" s="51">
        <f>IF(G77=1, IF(D77="Yes", "✓", IF(D77="Partial", "◐", IF(D77="Not Yet", "✗", ""))), "")</f>
        <v/>
      </c>
      <c r="F77" s="66" t="n"/>
      <c r="G77" s="47">
        <f>IFERROR(IF(MATCH(A77, Lookups!A:A, 0)&gt;0, 1, 0), 0)</f>
        <v/>
      </c>
      <c r="H77" s="47">
        <f>IFERROR(N(INDEX(Lookups!G:G, MATCH(A77, Lookups!A:A, 0))), 0)</f>
        <v/>
      </c>
      <c r="I77" s="47">
        <f>IFERROR(INDEX(Lookups!J:J, MATCH(A77, Lookups!A:A, 0)), "")</f>
        <v/>
      </c>
      <c r="J77" s="47">
        <f>IF(D77="Yes", TRUE, IF(D77="Partial", FALSE, IF(D77="Not Yet", FALSE, "")))</f>
        <v/>
      </c>
      <c r="K77" s="47">
        <f>IF(G77=0, "", IF(I77="3.5.3", COUNTIFS(Sub_Row_Parent_Range, "3.5.3", Pass_Flag_Range, TRUE)=4, J77))</f>
        <v/>
      </c>
      <c r="L77" s="47">
        <f>IF(G77=1, IF(K77=TRUE, 0, H77), 0)</f>
        <v/>
      </c>
      <c r="M77" s="47">
        <f>IFERROR(INDEX(Lookups!H:H, MATCH(A77, Lookups!A:A, 0)), "")</f>
        <v/>
      </c>
      <c r="N77" s="47">
        <f>IFERROR(INDEX(Lookups!B:B, MATCH(A77, Lookups!A:A, 0)), "")</f>
        <v/>
      </c>
      <c r="O77" s="47">
        <f>IF(G77=1, IF(K77=TRUE, "", IF(A77="3.12.4", -1, IF(AND(I77="3.5.3", A77&lt;&gt;"3.5.3a"), "", ROW()))), "")</f>
        <v/>
      </c>
      <c r="R77" s="27">
        <f>IF(G77=1, IF(INDEX(Lookups!A:A, COUNTIF($G$2:$G77,1)+1)=A77, 0, 1), 0)</f>
        <v/>
      </c>
    </row>
    <row r="78" ht="130.5" customHeight="1" s="28">
      <c r="A78" s="48" t="inlineStr">
        <is>
          <t>3.8.2</t>
        </is>
      </c>
      <c r="B78" s="50">
        <f>INDEX(Lookups!D:D, MATCH(A78, Lookups!A:A, 0))</f>
        <v/>
      </c>
      <c r="C78" s="50">
        <f>INDEX(Lookups!F:F, MATCH(A78, Lookups!A:A, 0))</f>
        <v/>
      </c>
      <c r="D78" s="70" t="n"/>
      <c r="E78" s="51">
        <f>IF(G78=1, IF(D78="Yes", "✓", IF(D78="Partial", "◐", IF(D78="Not Yet", "✗", ""))), "")</f>
        <v/>
      </c>
      <c r="F78" s="66" t="n"/>
      <c r="G78" s="47">
        <f>IFERROR(IF(MATCH(A78, Lookups!A:A, 0)&gt;0, 1, 0), 0)</f>
        <v/>
      </c>
      <c r="H78" s="47">
        <f>IFERROR(N(INDEX(Lookups!G:G, MATCH(A78, Lookups!A:A, 0))), 0)</f>
        <v/>
      </c>
      <c r="I78" s="47">
        <f>IFERROR(INDEX(Lookups!J:J, MATCH(A78, Lookups!A:A, 0)), "")</f>
        <v/>
      </c>
      <c r="J78" s="47">
        <f>IF(D78="Yes", TRUE, IF(D78="Partial", FALSE, IF(D78="Not Yet", FALSE, "")))</f>
        <v/>
      </c>
      <c r="K78" s="47">
        <f>IF(G78=0, "", IF(I78="3.5.3", COUNTIFS(Sub_Row_Parent_Range, "3.5.3", Pass_Flag_Range, TRUE)=4, J78))</f>
        <v/>
      </c>
      <c r="L78" s="47">
        <f>IF(G78=1, IF(K78=TRUE, 0, H78), 0)</f>
        <v/>
      </c>
      <c r="M78" s="47">
        <f>IFERROR(INDEX(Lookups!H:H, MATCH(A78, Lookups!A:A, 0)), "")</f>
        <v/>
      </c>
      <c r="N78" s="47">
        <f>IFERROR(INDEX(Lookups!B:B, MATCH(A78, Lookups!A:A, 0)), "")</f>
        <v/>
      </c>
      <c r="O78" s="47">
        <f>IF(G78=1, IF(K78=TRUE, "", IF(A78="3.12.4", -1, IF(AND(I78="3.5.3", A78&lt;&gt;"3.5.3a"), "", ROW()))), "")</f>
        <v/>
      </c>
      <c r="R78" s="27">
        <f>IF(G78=1, IF(INDEX(Lookups!A:A, COUNTIF($G$2:$G78,1)+1)=A78, 0, 1), 0)</f>
        <v/>
      </c>
    </row>
    <row r="79" ht="101.5" customHeight="1" s="28">
      <c r="A79" s="48" t="inlineStr">
        <is>
          <t>3.8.3</t>
        </is>
      </c>
      <c r="B79" s="50">
        <f>INDEX(Lookups!D:D, MATCH(A79, Lookups!A:A, 0))</f>
        <v/>
      </c>
      <c r="C79" s="50">
        <f>INDEX(Lookups!F:F, MATCH(A79, Lookups!A:A, 0))</f>
        <v/>
      </c>
      <c r="D79" s="70" t="n"/>
      <c r="E79" s="51">
        <f>IF(G79=1, IF(D79="Yes", "✓", IF(D79="Partial", "◐", IF(D79="Not Yet", "✗", ""))), "")</f>
        <v/>
      </c>
      <c r="F79" s="66" t="n"/>
      <c r="G79" s="47">
        <f>IFERROR(IF(MATCH(A79, Lookups!A:A, 0)&gt;0, 1, 0), 0)</f>
        <v/>
      </c>
      <c r="H79" s="47">
        <f>IFERROR(N(INDEX(Lookups!G:G, MATCH(A79, Lookups!A:A, 0))), 0)</f>
        <v/>
      </c>
      <c r="I79" s="47">
        <f>IFERROR(INDEX(Lookups!J:J, MATCH(A79, Lookups!A:A, 0)), "")</f>
        <v/>
      </c>
      <c r="J79" s="47">
        <f>IF(D79="Yes", TRUE, IF(D79="Partial", FALSE, IF(D79="Not Yet", FALSE, "")))</f>
        <v/>
      </c>
      <c r="K79" s="47">
        <f>IF(G79=0, "", IF(I79="3.5.3", COUNTIFS(Sub_Row_Parent_Range, "3.5.3", Pass_Flag_Range, TRUE)=4, J79))</f>
        <v/>
      </c>
      <c r="L79" s="47">
        <f>IF(G79=1, IF(K79=TRUE, 0, H79), 0)</f>
        <v/>
      </c>
      <c r="M79" s="47">
        <f>IFERROR(INDEX(Lookups!H:H, MATCH(A79, Lookups!A:A, 0)), "")</f>
        <v/>
      </c>
      <c r="N79" s="47">
        <f>IFERROR(INDEX(Lookups!B:B, MATCH(A79, Lookups!A:A, 0)), "")</f>
        <v/>
      </c>
      <c r="O79" s="47">
        <f>IF(G79=1, IF(K79=TRUE, "", IF(A79="3.12.4", -1, IF(AND(I79="3.5.3", A79&lt;&gt;"3.5.3a"), "", ROW()))), "")</f>
        <v/>
      </c>
      <c r="R79" s="27">
        <f>IF(G79=1, IF(INDEX(Lookups!A:A, COUNTIF($G$2:$G79,1)+1)=A79, 0, 1), 0)</f>
        <v/>
      </c>
    </row>
    <row r="80" ht="101.5" customHeight="1" s="28">
      <c r="A80" s="48" t="inlineStr">
        <is>
          <t>3.8.4</t>
        </is>
      </c>
      <c r="B80" s="50">
        <f>INDEX(Lookups!D:D, MATCH(A80, Lookups!A:A, 0))</f>
        <v/>
      </c>
      <c r="C80" s="50">
        <f>INDEX(Lookups!F:F, MATCH(A80, Lookups!A:A, 0))</f>
        <v/>
      </c>
      <c r="D80" s="70" t="n"/>
      <c r="E80" s="51">
        <f>IF(G80=1, IF(D80="Yes", "✓", IF(D80="Partial", "◐", IF(D80="Not Yet", "✗", ""))), "")</f>
        <v/>
      </c>
      <c r="F80" s="66" t="n"/>
      <c r="G80" s="47">
        <f>IFERROR(IF(MATCH(A80, Lookups!A:A, 0)&gt;0, 1, 0), 0)</f>
        <v/>
      </c>
      <c r="H80" s="47">
        <f>IFERROR(N(INDEX(Lookups!G:G, MATCH(A80, Lookups!A:A, 0))), 0)</f>
        <v/>
      </c>
      <c r="I80" s="47">
        <f>IFERROR(INDEX(Lookups!J:J, MATCH(A80, Lookups!A:A, 0)), "")</f>
        <v/>
      </c>
      <c r="J80" s="47">
        <f>IF(D80="Yes", TRUE, IF(D80="Partial", FALSE, IF(D80="Not Yet", FALSE, "")))</f>
        <v/>
      </c>
      <c r="K80" s="47">
        <f>IF(G80=0, "", IF(I80="3.5.3", COUNTIFS(Sub_Row_Parent_Range, "3.5.3", Pass_Flag_Range, TRUE)=4, J80))</f>
        <v/>
      </c>
      <c r="L80" s="47">
        <f>IF(G80=1, IF(K80=TRUE, 0, H80), 0)</f>
        <v/>
      </c>
      <c r="M80" s="47">
        <f>IFERROR(INDEX(Lookups!H:H, MATCH(A80, Lookups!A:A, 0)), "")</f>
        <v/>
      </c>
      <c r="N80" s="47">
        <f>IFERROR(INDEX(Lookups!B:B, MATCH(A80, Lookups!A:A, 0)), "")</f>
        <v/>
      </c>
      <c r="O80" s="47">
        <f>IF(G80=1, IF(K80=TRUE, "", IF(A80="3.12.4", -1, IF(AND(I80="3.5.3", A80&lt;&gt;"3.5.3a"), "", ROW()))), "")</f>
        <v/>
      </c>
      <c r="R80" s="27">
        <f>IF(G80=1, IF(INDEX(Lookups!A:A, COUNTIF($G$2:$G80,1)+1)=A80, 0, 1), 0)</f>
        <v/>
      </c>
    </row>
    <row r="81" ht="101.5" customHeight="1" s="28">
      <c r="A81" s="48" t="inlineStr">
        <is>
          <t>3.8.5</t>
        </is>
      </c>
      <c r="B81" s="50">
        <f>INDEX(Lookups!D:D, MATCH(A81, Lookups!A:A, 0))</f>
        <v/>
      </c>
      <c r="C81" s="50">
        <f>INDEX(Lookups!F:F, MATCH(A81, Lookups!A:A, 0))</f>
        <v/>
      </c>
      <c r="D81" s="70" t="n"/>
      <c r="E81" s="51">
        <f>IF(G81=1, IF(D81="Yes", "✓", IF(D81="Partial", "◐", IF(D81="Not Yet", "✗", ""))), "")</f>
        <v/>
      </c>
      <c r="F81" s="66" t="n"/>
      <c r="G81" s="47">
        <f>IFERROR(IF(MATCH(A81, Lookups!A:A, 0)&gt;0, 1, 0), 0)</f>
        <v/>
      </c>
      <c r="H81" s="47">
        <f>IFERROR(N(INDEX(Lookups!G:G, MATCH(A81, Lookups!A:A, 0))), 0)</f>
        <v/>
      </c>
      <c r="I81" s="47">
        <f>IFERROR(INDEX(Lookups!J:J, MATCH(A81, Lookups!A:A, 0)), "")</f>
        <v/>
      </c>
      <c r="J81" s="47">
        <f>IF(D81="Yes", TRUE, IF(D81="Partial", FALSE, IF(D81="Not Yet", FALSE, "")))</f>
        <v/>
      </c>
      <c r="K81" s="47">
        <f>IF(G81=0, "", IF(I81="3.5.3", COUNTIFS(Sub_Row_Parent_Range, "3.5.3", Pass_Flag_Range, TRUE)=4, J81))</f>
        <v/>
      </c>
      <c r="L81" s="47">
        <f>IF(G81=1, IF(K81=TRUE, 0, H81), 0)</f>
        <v/>
      </c>
      <c r="M81" s="47">
        <f>IFERROR(INDEX(Lookups!H:H, MATCH(A81, Lookups!A:A, 0)), "")</f>
        <v/>
      </c>
      <c r="N81" s="47">
        <f>IFERROR(INDEX(Lookups!B:B, MATCH(A81, Lookups!A:A, 0)), "")</f>
        <v/>
      </c>
      <c r="O81" s="47">
        <f>IF(G81=1, IF(K81=TRUE, "", IF(A81="3.12.4", -1, IF(AND(I81="3.5.3", A81&lt;&gt;"3.5.3a"), "", ROW()))), "")</f>
        <v/>
      </c>
      <c r="R81" s="27">
        <f>IF(G81=1, IF(INDEX(Lookups!A:A, COUNTIF($G$2:$G81,1)+1)=A81, 0, 1), 0)</f>
        <v/>
      </c>
    </row>
    <row r="82" ht="145" customHeight="1" s="28">
      <c r="A82" s="48" t="inlineStr">
        <is>
          <t>3.8.6</t>
        </is>
      </c>
      <c r="B82" s="50">
        <f>INDEX(Lookups!D:D, MATCH(A82, Lookups!A:A, 0))</f>
        <v/>
      </c>
      <c r="C82" s="50">
        <f>INDEX(Lookups!F:F, MATCH(A82, Lookups!A:A, 0))</f>
        <v/>
      </c>
      <c r="D82" s="70" t="n"/>
      <c r="E82" s="51">
        <f>IF(G82=1, IF(D82="Yes", "✓", IF(D82="Partial", "◐", IF(D82="Not Yet", "✗", ""))), "")</f>
        <v/>
      </c>
      <c r="F82" s="66" t="n"/>
      <c r="G82" s="47">
        <f>IFERROR(IF(MATCH(A82, Lookups!A:A, 0)&gt;0, 1, 0), 0)</f>
        <v/>
      </c>
      <c r="H82" s="47">
        <f>IFERROR(N(INDEX(Lookups!G:G, MATCH(A82, Lookups!A:A, 0))), 0)</f>
        <v/>
      </c>
      <c r="I82" s="47">
        <f>IFERROR(INDEX(Lookups!J:J, MATCH(A82, Lookups!A:A, 0)), "")</f>
        <v/>
      </c>
      <c r="J82" s="47">
        <f>IF(D82="Yes", TRUE, IF(D82="Partial", FALSE, IF(D82="Not Yet", FALSE, "")))</f>
        <v/>
      </c>
      <c r="K82" s="47">
        <f>IF(G82=0, "", IF(I82="3.5.3", COUNTIFS(Sub_Row_Parent_Range, "3.5.3", Pass_Flag_Range, TRUE)=4, J82))</f>
        <v/>
      </c>
      <c r="L82" s="47">
        <f>IF(G82=1, IF(K82=TRUE, 0, H82), 0)</f>
        <v/>
      </c>
      <c r="M82" s="47">
        <f>IFERROR(INDEX(Lookups!H:H, MATCH(A82, Lookups!A:A, 0)), "")</f>
        <v/>
      </c>
      <c r="N82" s="47">
        <f>IFERROR(INDEX(Lookups!B:B, MATCH(A82, Lookups!A:A, 0)), "")</f>
        <v/>
      </c>
      <c r="O82" s="47">
        <f>IF(G82=1, IF(K82=TRUE, "", IF(A82="3.12.4", -1, IF(AND(I82="3.5.3", A82&lt;&gt;"3.5.3a"), "", ROW()))), "")</f>
        <v/>
      </c>
      <c r="R82" s="27">
        <f>IF(G82=1, IF(INDEX(Lookups!A:A, COUNTIF($G$2:$G82,1)+1)=A82, 0, 1), 0)</f>
        <v/>
      </c>
    </row>
    <row r="83" ht="116" customHeight="1" s="28">
      <c r="A83" s="48" t="inlineStr">
        <is>
          <t>3.8.7</t>
        </is>
      </c>
      <c r="B83" s="50">
        <f>INDEX(Lookups!D:D, MATCH(A83, Lookups!A:A, 0))</f>
        <v/>
      </c>
      <c r="C83" s="50">
        <f>INDEX(Lookups!F:F, MATCH(A83, Lookups!A:A, 0))</f>
        <v/>
      </c>
      <c r="D83" s="70" t="n"/>
      <c r="E83" s="51">
        <f>IF(G83=1, IF(D83="Yes", "✓", IF(D83="Partial", "◐", IF(D83="Not Yet", "✗", ""))), "")</f>
        <v/>
      </c>
      <c r="F83" s="66" t="n"/>
      <c r="G83" s="47">
        <f>IFERROR(IF(MATCH(A83, Lookups!A:A, 0)&gt;0, 1, 0), 0)</f>
        <v/>
      </c>
      <c r="H83" s="47">
        <f>IFERROR(N(INDEX(Lookups!G:G, MATCH(A83, Lookups!A:A, 0))), 0)</f>
        <v/>
      </c>
      <c r="I83" s="47">
        <f>IFERROR(INDEX(Lookups!J:J, MATCH(A83, Lookups!A:A, 0)), "")</f>
        <v/>
      </c>
      <c r="J83" s="47">
        <f>IF(D83="Yes", TRUE, IF(D83="Partial", FALSE, IF(D83="Not Yet", FALSE, "")))</f>
        <v/>
      </c>
      <c r="K83" s="47">
        <f>IF(G83=0, "", IF(I83="3.5.3", COUNTIFS(Sub_Row_Parent_Range, "3.5.3", Pass_Flag_Range, TRUE)=4, J83))</f>
        <v/>
      </c>
      <c r="L83" s="47">
        <f>IF(G83=1, IF(K83=TRUE, 0, H83), 0)</f>
        <v/>
      </c>
      <c r="M83" s="47">
        <f>IFERROR(INDEX(Lookups!H:H, MATCH(A83, Lookups!A:A, 0)), "")</f>
        <v/>
      </c>
      <c r="N83" s="47">
        <f>IFERROR(INDEX(Lookups!B:B, MATCH(A83, Lookups!A:A, 0)), "")</f>
        <v/>
      </c>
      <c r="O83" s="47">
        <f>IF(G83=1, IF(K83=TRUE, "", IF(A83="3.12.4", -1, IF(AND(I83="3.5.3", A83&lt;&gt;"3.5.3a"), "", ROW()))), "")</f>
        <v/>
      </c>
      <c r="R83" s="27">
        <f>IF(G83=1, IF(INDEX(Lookups!A:A, COUNTIF($G$2:$G83,1)+1)=A83, 0, 1), 0)</f>
        <v/>
      </c>
    </row>
    <row r="84" ht="130.5" customHeight="1" s="28">
      <c r="A84" s="48" t="inlineStr">
        <is>
          <t>3.8.8</t>
        </is>
      </c>
      <c r="B84" s="50">
        <f>INDEX(Lookups!D:D, MATCH(A84, Lookups!A:A, 0))</f>
        <v/>
      </c>
      <c r="C84" s="50">
        <f>INDEX(Lookups!F:F, MATCH(A84, Lookups!A:A, 0))</f>
        <v/>
      </c>
      <c r="D84" s="70" t="n"/>
      <c r="E84" s="51">
        <f>IF(G84=1, IF(D84="Yes", "✓", IF(D84="Partial", "◐", IF(D84="Not Yet", "✗", ""))), "")</f>
        <v/>
      </c>
      <c r="F84" s="66" t="n"/>
      <c r="G84" s="47">
        <f>IFERROR(IF(MATCH(A84, Lookups!A:A, 0)&gt;0, 1, 0), 0)</f>
        <v/>
      </c>
      <c r="H84" s="47">
        <f>IFERROR(N(INDEX(Lookups!G:G, MATCH(A84, Lookups!A:A, 0))), 0)</f>
        <v/>
      </c>
      <c r="I84" s="47">
        <f>IFERROR(INDEX(Lookups!J:J, MATCH(A84, Lookups!A:A, 0)), "")</f>
        <v/>
      </c>
      <c r="J84" s="47">
        <f>IF(D84="Yes", TRUE, IF(D84="Partial", FALSE, IF(D84="Not Yet", FALSE, "")))</f>
        <v/>
      </c>
      <c r="K84" s="47">
        <f>IF(G84=0, "", IF(I84="3.5.3", COUNTIFS(Sub_Row_Parent_Range, "3.5.3", Pass_Flag_Range, TRUE)=4, J84))</f>
        <v/>
      </c>
      <c r="L84" s="47">
        <f>IF(G84=1, IF(K84=TRUE, 0, H84), 0)</f>
        <v/>
      </c>
      <c r="M84" s="47">
        <f>IFERROR(INDEX(Lookups!H:H, MATCH(A84, Lookups!A:A, 0)), "")</f>
        <v/>
      </c>
      <c r="N84" s="47">
        <f>IFERROR(INDEX(Lookups!B:B, MATCH(A84, Lookups!A:A, 0)), "")</f>
        <v/>
      </c>
      <c r="O84" s="47">
        <f>IF(G84=1, IF(K84=TRUE, "", IF(A84="3.12.4", -1, IF(AND(I84="3.5.3", A84&lt;&gt;"3.5.3a"), "", ROW()))), "")</f>
        <v/>
      </c>
      <c r="R84" s="27">
        <f>IF(G84=1, IF(INDEX(Lookups!A:A, COUNTIF($G$2:$G84,1)+1)=A84, 0, 1), 0)</f>
        <v/>
      </c>
    </row>
    <row r="85" ht="101.5" customHeight="1" s="28">
      <c r="A85" s="48" t="inlineStr">
        <is>
          <t>3.8.9</t>
        </is>
      </c>
      <c r="B85" s="50">
        <f>INDEX(Lookups!D:D, MATCH(A85, Lookups!A:A, 0))</f>
        <v/>
      </c>
      <c r="C85" s="50">
        <f>INDEX(Lookups!F:F, MATCH(A85, Lookups!A:A, 0))</f>
        <v/>
      </c>
      <c r="D85" s="70" t="n"/>
      <c r="E85" s="51">
        <f>IF(G85=1, IF(D85="Yes", "✓", IF(D85="Partial", "◐", IF(D85="Not Yet", "✗", ""))), "")</f>
        <v/>
      </c>
      <c r="F85" s="66" t="n"/>
      <c r="G85" s="47">
        <f>IFERROR(IF(MATCH(A85, Lookups!A:A, 0)&gt;0, 1, 0), 0)</f>
        <v/>
      </c>
      <c r="H85" s="47">
        <f>IFERROR(N(INDEX(Lookups!G:G, MATCH(A85, Lookups!A:A, 0))), 0)</f>
        <v/>
      </c>
      <c r="I85" s="47">
        <f>IFERROR(INDEX(Lookups!J:J, MATCH(A85, Lookups!A:A, 0)), "")</f>
        <v/>
      </c>
      <c r="J85" s="47">
        <f>IF(D85="Yes", TRUE, IF(D85="Partial", FALSE, IF(D85="Not Yet", FALSE, "")))</f>
        <v/>
      </c>
      <c r="K85" s="47">
        <f>IF(G85=0, "", IF(I85="3.5.3", COUNTIFS(Sub_Row_Parent_Range, "3.5.3", Pass_Flag_Range, TRUE)=4, J85))</f>
        <v/>
      </c>
      <c r="L85" s="47">
        <f>IF(G85=1, IF(K85=TRUE, 0, H85), 0)</f>
        <v/>
      </c>
      <c r="M85" s="47">
        <f>IFERROR(INDEX(Lookups!H:H, MATCH(A85, Lookups!A:A, 0)), "")</f>
        <v/>
      </c>
      <c r="N85" s="47">
        <f>IFERROR(INDEX(Lookups!B:B, MATCH(A85, Lookups!A:A, 0)), "")</f>
        <v/>
      </c>
      <c r="O85" s="47">
        <f>IF(G85=1, IF(K85=TRUE, "", IF(A85="3.12.4", -1, IF(AND(I85="3.5.3", A85&lt;&gt;"3.5.3a"), "", ROW()))), "")</f>
        <v/>
      </c>
      <c r="R85" s="27">
        <f>IF(G85=1, IF(INDEX(Lookups!A:A, COUNTIF($G$2:$G85,1)+1)=A85, 0, 1), 0)</f>
        <v/>
      </c>
    </row>
    <row r="86" ht="21.75" customHeight="1" s="28">
      <c r="A86" s="44" t="inlineStr">
        <is>
          <t>═══  3.9 — Personnel Security  (2 questions)  ═══</t>
        </is>
      </c>
      <c r="B86" s="71" t="n"/>
      <c r="C86" s="44" t="n"/>
      <c r="D86" s="44" t="n"/>
      <c r="E86" s="45">
        <f>IF(G86=1, IF(D86="Yes", "✓", IF(D86="Partial", "◐", IF(D86="Not Yet", "✗", ""))), "")</f>
        <v/>
      </c>
      <c r="F86" s="72" t="n"/>
      <c r="G86" s="47">
        <f>IFERROR(IF(MATCH(A86, Lookups!A:A, 0)&gt;0, 1, 0), 0)</f>
        <v/>
      </c>
      <c r="H86" s="47">
        <f>IFERROR(N(INDEX(Lookups!G:G, MATCH(A86, Lookups!A:A, 0))), 0)</f>
        <v/>
      </c>
      <c r="I86" s="47">
        <f>IFERROR(INDEX(Lookups!J:J, MATCH(A86, Lookups!A:A, 0)), "")</f>
        <v/>
      </c>
      <c r="J86" s="47">
        <f>IF(D86="Yes", TRUE, IF(D86="Partial", FALSE, IF(D86="Not Yet", FALSE, "")))</f>
        <v/>
      </c>
      <c r="K86" s="47">
        <f>IF(G86=0, "", IF(I86="3.5.3", COUNTIFS(Sub_Row_Parent_Range, "3.5.3", Pass_Flag_Range, TRUE)=4, J86))</f>
        <v/>
      </c>
      <c r="L86" s="47">
        <f>IF(G86=1, IF(K86=TRUE, 0, H86), 0)</f>
        <v/>
      </c>
      <c r="M86" s="47">
        <f>IFERROR(INDEX(Lookups!H:H, MATCH(A86, Lookups!A:A, 0)), "")</f>
        <v/>
      </c>
      <c r="N86" s="47">
        <f>IFERROR(INDEX(Lookups!B:B, MATCH(A86, Lookups!A:A, 0)), "")</f>
        <v/>
      </c>
      <c r="O86" s="47">
        <f>IF(G86=1, IF(K86=TRUE, "", IF(A86="3.12.4", -1, IF(AND(I86="3.5.3", A86&lt;&gt;"3.5.3a"), "", ROW()))), "")</f>
        <v/>
      </c>
      <c r="R86" s="27">
        <f>IF(G86=1, IF(INDEX(Lookups!A:A, COUNTIF($G$2:$G86,1)+1)=A86, 0, 1), 0)</f>
        <v/>
      </c>
    </row>
    <row r="87" ht="101.5" customHeight="1" s="28">
      <c r="A87" s="48" t="inlineStr">
        <is>
          <t>3.9.1</t>
        </is>
      </c>
      <c r="B87" s="50">
        <f>INDEX(Lookups!D:D, MATCH(A87, Lookups!A:A, 0))</f>
        <v/>
      </c>
      <c r="C87" s="50">
        <f>INDEX(Lookups!F:F, MATCH(A87, Lookups!A:A, 0))</f>
        <v/>
      </c>
      <c r="D87" s="70" t="n"/>
      <c r="E87" s="51">
        <f>IF(G87=1, IF(D87="Yes", "✓", IF(D87="Partial", "◐", IF(D87="Not Yet", "✗", ""))), "")</f>
        <v/>
      </c>
      <c r="F87" s="66" t="n"/>
      <c r="G87" s="47">
        <f>IFERROR(IF(MATCH(A87, Lookups!A:A, 0)&gt;0, 1, 0), 0)</f>
        <v/>
      </c>
      <c r="H87" s="47">
        <f>IFERROR(N(INDEX(Lookups!G:G, MATCH(A87, Lookups!A:A, 0))), 0)</f>
        <v/>
      </c>
      <c r="I87" s="47">
        <f>IFERROR(INDEX(Lookups!J:J, MATCH(A87, Lookups!A:A, 0)), "")</f>
        <v/>
      </c>
      <c r="J87" s="47">
        <f>IF(D87="Yes", TRUE, IF(D87="Partial", FALSE, IF(D87="Not Yet", FALSE, "")))</f>
        <v/>
      </c>
      <c r="K87" s="47">
        <f>IF(G87=0, "", IF(I87="3.5.3", COUNTIFS(Sub_Row_Parent_Range, "3.5.3", Pass_Flag_Range, TRUE)=4, J87))</f>
        <v/>
      </c>
      <c r="L87" s="47">
        <f>IF(G87=1, IF(K87=TRUE, 0, H87), 0)</f>
        <v/>
      </c>
      <c r="M87" s="47">
        <f>IFERROR(INDEX(Lookups!H:H, MATCH(A87, Lookups!A:A, 0)), "")</f>
        <v/>
      </c>
      <c r="N87" s="47">
        <f>IFERROR(INDEX(Lookups!B:B, MATCH(A87, Lookups!A:A, 0)), "")</f>
        <v/>
      </c>
      <c r="O87" s="47">
        <f>IF(G87=1, IF(K87=TRUE, "", IF(A87="3.12.4", -1, IF(AND(I87="3.5.3", A87&lt;&gt;"3.5.3a"), "", ROW()))), "")</f>
        <v/>
      </c>
      <c r="R87" s="27">
        <f>IF(G87=1, IF(INDEX(Lookups!A:A, COUNTIF($G$2:$G87,1)+1)=A87, 0, 1), 0)</f>
        <v/>
      </c>
    </row>
    <row r="88" ht="101.5" customHeight="1" s="28">
      <c r="A88" s="48" t="inlineStr">
        <is>
          <t>3.9.2</t>
        </is>
      </c>
      <c r="B88" s="50">
        <f>INDEX(Lookups!D:D, MATCH(A88, Lookups!A:A, 0))</f>
        <v/>
      </c>
      <c r="C88" s="50">
        <f>INDEX(Lookups!F:F, MATCH(A88, Lookups!A:A, 0))</f>
        <v/>
      </c>
      <c r="D88" s="70" t="n"/>
      <c r="E88" s="51">
        <f>IF(G88=1, IF(D88="Yes", "✓", IF(D88="Partial", "◐", IF(D88="Not Yet", "✗", ""))), "")</f>
        <v/>
      </c>
      <c r="F88" s="66" t="n"/>
      <c r="G88" s="47">
        <f>IFERROR(IF(MATCH(A88, Lookups!A:A, 0)&gt;0, 1, 0), 0)</f>
        <v/>
      </c>
      <c r="H88" s="47">
        <f>IFERROR(N(INDEX(Lookups!G:G, MATCH(A88, Lookups!A:A, 0))), 0)</f>
        <v/>
      </c>
      <c r="I88" s="47">
        <f>IFERROR(INDEX(Lookups!J:J, MATCH(A88, Lookups!A:A, 0)), "")</f>
        <v/>
      </c>
      <c r="J88" s="47">
        <f>IF(D88="Yes", TRUE, IF(D88="Partial", FALSE, IF(D88="Not Yet", FALSE, "")))</f>
        <v/>
      </c>
      <c r="K88" s="47">
        <f>IF(G88=0, "", IF(I88="3.5.3", COUNTIFS(Sub_Row_Parent_Range, "3.5.3", Pass_Flag_Range, TRUE)=4, J88))</f>
        <v/>
      </c>
      <c r="L88" s="47">
        <f>IF(G88=1, IF(K88=TRUE, 0, H88), 0)</f>
        <v/>
      </c>
      <c r="M88" s="47">
        <f>IFERROR(INDEX(Lookups!H:H, MATCH(A88, Lookups!A:A, 0)), "")</f>
        <v/>
      </c>
      <c r="N88" s="47">
        <f>IFERROR(INDEX(Lookups!B:B, MATCH(A88, Lookups!A:A, 0)), "")</f>
        <v/>
      </c>
      <c r="O88" s="47">
        <f>IF(G88=1, IF(K88=TRUE, "", IF(A88="3.12.4", -1, IF(AND(I88="3.5.3", A88&lt;&gt;"3.5.3a"), "", ROW()))), "")</f>
        <v/>
      </c>
      <c r="R88" s="27">
        <f>IF(G88=1, IF(INDEX(Lookups!A:A, COUNTIF($G$2:$G88,1)+1)=A88, 0, 1), 0)</f>
        <v/>
      </c>
    </row>
    <row r="89" ht="21.75" customHeight="1" s="28">
      <c r="A89" s="44" t="inlineStr">
        <is>
          <t>═══  3.10 — Physical Protection  (6 questions)  ═══</t>
        </is>
      </c>
      <c r="B89" s="71" t="n"/>
      <c r="C89" s="44" t="n"/>
      <c r="D89" s="44" t="n"/>
      <c r="E89" s="45">
        <f>IF(G89=1, IF(D89="Yes", "✓", IF(D89="Partial", "◐", IF(D89="Not Yet", "✗", ""))), "")</f>
        <v/>
      </c>
      <c r="F89" s="72" t="n"/>
      <c r="G89" s="47">
        <f>IFERROR(IF(MATCH(A89, Lookups!A:A, 0)&gt;0, 1, 0), 0)</f>
        <v/>
      </c>
      <c r="H89" s="47">
        <f>IFERROR(N(INDEX(Lookups!G:G, MATCH(A89, Lookups!A:A, 0))), 0)</f>
        <v/>
      </c>
      <c r="I89" s="47">
        <f>IFERROR(INDEX(Lookups!J:J, MATCH(A89, Lookups!A:A, 0)), "")</f>
        <v/>
      </c>
      <c r="J89" s="47">
        <f>IF(D89="Yes", TRUE, IF(D89="Partial", FALSE, IF(D89="Not Yet", FALSE, "")))</f>
        <v/>
      </c>
      <c r="K89" s="47">
        <f>IF(G89=0, "", IF(I89="3.5.3", COUNTIFS(Sub_Row_Parent_Range, "3.5.3", Pass_Flag_Range, TRUE)=4, J89))</f>
        <v/>
      </c>
      <c r="L89" s="47">
        <f>IF(G89=1, IF(K89=TRUE, 0, H89), 0)</f>
        <v/>
      </c>
      <c r="M89" s="47">
        <f>IFERROR(INDEX(Lookups!H:H, MATCH(A89, Lookups!A:A, 0)), "")</f>
        <v/>
      </c>
      <c r="N89" s="47">
        <f>IFERROR(INDEX(Lookups!B:B, MATCH(A89, Lookups!A:A, 0)), "")</f>
        <v/>
      </c>
      <c r="O89" s="47">
        <f>IF(G89=1, IF(K89=TRUE, "", IF(A89="3.12.4", -1, IF(AND(I89="3.5.3", A89&lt;&gt;"3.5.3a"), "", ROW()))), "")</f>
        <v/>
      </c>
      <c r="R89" s="27">
        <f>IF(G89=1, IF(INDEX(Lookups!A:A, COUNTIF($G$2:$G89,1)+1)=A89, 0, 1), 0)</f>
        <v/>
      </c>
    </row>
    <row r="90" ht="130.5" customHeight="1" s="28">
      <c r="A90" s="48" t="inlineStr">
        <is>
          <t>3.10.1</t>
        </is>
      </c>
      <c r="B90" s="50">
        <f>INDEX(Lookups!D:D, MATCH(A90, Lookups!A:A, 0))</f>
        <v/>
      </c>
      <c r="C90" s="50">
        <f>INDEX(Lookups!F:F, MATCH(A90, Lookups!A:A, 0))</f>
        <v/>
      </c>
      <c r="D90" s="70" t="n"/>
      <c r="E90" s="51">
        <f>IF(G90=1, IF(D90="Yes", "✓", IF(D90="Partial", "◐", IF(D90="Not Yet", "✗", ""))), "")</f>
        <v/>
      </c>
      <c r="F90" s="66" t="n"/>
      <c r="G90" s="47">
        <f>IFERROR(IF(MATCH(A90, Lookups!A:A, 0)&gt;0, 1, 0), 0)</f>
        <v/>
      </c>
      <c r="H90" s="47">
        <f>IFERROR(N(INDEX(Lookups!G:G, MATCH(A90, Lookups!A:A, 0))), 0)</f>
        <v/>
      </c>
      <c r="I90" s="47">
        <f>IFERROR(INDEX(Lookups!J:J, MATCH(A90, Lookups!A:A, 0)), "")</f>
        <v/>
      </c>
      <c r="J90" s="47">
        <f>IF(D90="Yes", TRUE, IF(D90="Partial", FALSE, IF(D90="Not Yet", FALSE, "")))</f>
        <v/>
      </c>
      <c r="K90" s="47">
        <f>IF(G90=0, "", IF(I90="3.5.3", COUNTIFS(Sub_Row_Parent_Range, "3.5.3", Pass_Flag_Range, TRUE)=4, J90))</f>
        <v/>
      </c>
      <c r="L90" s="47">
        <f>IF(G90=1, IF(K90=TRUE, 0, H90), 0)</f>
        <v/>
      </c>
      <c r="M90" s="47">
        <f>IFERROR(INDEX(Lookups!H:H, MATCH(A90, Lookups!A:A, 0)), "")</f>
        <v/>
      </c>
      <c r="N90" s="47">
        <f>IFERROR(INDEX(Lookups!B:B, MATCH(A90, Lookups!A:A, 0)), "")</f>
        <v/>
      </c>
      <c r="O90" s="47">
        <f>IF(G90=1, IF(K90=TRUE, "", IF(A90="3.12.4", -1, IF(AND(I90="3.5.3", A90&lt;&gt;"3.5.3a"), "", ROW()))), "")</f>
        <v/>
      </c>
      <c r="R90" s="27">
        <f>IF(G90=1, IF(INDEX(Lookups!A:A, COUNTIF($G$2:$G90,1)+1)=A90, 0, 1), 0)</f>
        <v/>
      </c>
    </row>
    <row r="91" ht="116" customHeight="1" s="28">
      <c r="A91" s="48" t="inlineStr">
        <is>
          <t>3.10.2</t>
        </is>
      </c>
      <c r="B91" s="50">
        <f>INDEX(Lookups!D:D, MATCH(A91, Lookups!A:A, 0))</f>
        <v/>
      </c>
      <c r="C91" s="50">
        <f>INDEX(Lookups!F:F, MATCH(A91, Lookups!A:A, 0))</f>
        <v/>
      </c>
      <c r="D91" s="70" t="n"/>
      <c r="E91" s="51">
        <f>IF(G91=1, IF(D91="Yes", "✓", IF(D91="Partial", "◐", IF(D91="Not Yet", "✗", ""))), "")</f>
        <v/>
      </c>
      <c r="F91" s="66" t="n"/>
      <c r="G91" s="47">
        <f>IFERROR(IF(MATCH(A91, Lookups!A:A, 0)&gt;0, 1, 0), 0)</f>
        <v/>
      </c>
      <c r="H91" s="47">
        <f>IFERROR(N(INDEX(Lookups!G:G, MATCH(A91, Lookups!A:A, 0))), 0)</f>
        <v/>
      </c>
      <c r="I91" s="47">
        <f>IFERROR(INDEX(Lookups!J:J, MATCH(A91, Lookups!A:A, 0)), "")</f>
        <v/>
      </c>
      <c r="J91" s="47">
        <f>IF(D91="Yes", TRUE, IF(D91="Partial", FALSE, IF(D91="Not Yet", FALSE, "")))</f>
        <v/>
      </c>
      <c r="K91" s="47">
        <f>IF(G91=0, "", IF(I91="3.5.3", COUNTIFS(Sub_Row_Parent_Range, "3.5.3", Pass_Flag_Range, TRUE)=4, J91))</f>
        <v/>
      </c>
      <c r="L91" s="47">
        <f>IF(G91=1, IF(K91=TRUE, 0, H91), 0)</f>
        <v/>
      </c>
      <c r="M91" s="47">
        <f>IFERROR(INDEX(Lookups!H:H, MATCH(A91, Lookups!A:A, 0)), "")</f>
        <v/>
      </c>
      <c r="N91" s="47">
        <f>IFERROR(INDEX(Lookups!B:B, MATCH(A91, Lookups!A:A, 0)), "")</f>
        <v/>
      </c>
      <c r="O91" s="47">
        <f>IF(G91=1, IF(K91=TRUE, "", IF(A91="3.12.4", -1, IF(AND(I91="3.5.3", A91&lt;&gt;"3.5.3a"), "", ROW()))), "")</f>
        <v/>
      </c>
      <c r="R91" s="27">
        <f>IF(G91=1, IF(INDEX(Lookups!A:A, COUNTIF($G$2:$G91,1)+1)=A91, 0, 1), 0)</f>
        <v/>
      </c>
    </row>
    <row r="92" ht="72.5" customHeight="1" s="28">
      <c r="A92" s="48" t="inlineStr">
        <is>
          <t>3.10.3</t>
        </is>
      </c>
      <c r="B92" s="50">
        <f>INDEX(Lookups!D:D, MATCH(A92, Lookups!A:A, 0))</f>
        <v/>
      </c>
      <c r="C92" s="50">
        <f>INDEX(Lookups!F:F, MATCH(A92, Lookups!A:A, 0))</f>
        <v/>
      </c>
      <c r="D92" s="70" t="n"/>
      <c r="E92" s="51">
        <f>IF(G92=1, IF(D92="Yes", "✓", IF(D92="Partial", "◐", IF(D92="Not Yet", "✗", ""))), "")</f>
        <v/>
      </c>
      <c r="F92" s="66" t="n"/>
      <c r="G92" s="47">
        <f>IFERROR(IF(MATCH(A92, Lookups!A:A, 0)&gt;0, 1, 0), 0)</f>
        <v/>
      </c>
      <c r="H92" s="47">
        <f>IFERROR(N(INDEX(Lookups!G:G, MATCH(A92, Lookups!A:A, 0))), 0)</f>
        <v/>
      </c>
      <c r="I92" s="47">
        <f>IFERROR(INDEX(Lookups!J:J, MATCH(A92, Lookups!A:A, 0)), "")</f>
        <v/>
      </c>
      <c r="J92" s="47">
        <f>IF(D92="Yes", TRUE, IF(D92="Partial", FALSE, IF(D92="Not Yet", FALSE, "")))</f>
        <v/>
      </c>
      <c r="K92" s="47">
        <f>IF(G92=0, "", IF(I92="3.5.3", COUNTIFS(Sub_Row_Parent_Range, "3.5.3", Pass_Flag_Range, TRUE)=4, J92))</f>
        <v/>
      </c>
      <c r="L92" s="47">
        <f>IF(G92=1, IF(K92=TRUE, 0, H92), 0)</f>
        <v/>
      </c>
      <c r="M92" s="47">
        <f>IFERROR(INDEX(Lookups!H:H, MATCH(A92, Lookups!A:A, 0)), "")</f>
        <v/>
      </c>
      <c r="N92" s="47">
        <f>IFERROR(INDEX(Lookups!B:B, MATCH(A92, Lookups!A:A, 0)), "")</f>
        <v/>
      </c>
      <c r="O92" s="47">
        <f>IF(G92=1, IF(K92=TRUE, "", IF(A92="3.12.4", -1, IF(AND(I92="3.5.3", A92&lt;&gt;"3.5.3a"), "", ROW()))), "")</f>
        <v/>
      </c>
      <c r="R92" s="27">
        <f>IF(G92=1, IF(INDEX(Lookups!A:A, COUNTIF($G$2:$G92,1)+1)=A92, 0, 1), 0)</f>
        <v/>
      </c>
    </row>
    <row r="93" ht="72.5" customHeight="1" s="28">
      <c r="A93" s="48" t="inlineStr">
        <is>
          <t>3.10.4</t>
        </is>
      </c>
      <c r="B93" s="50">
        <f>INDEX(Lookups!D:D, MATCH(A93, Lookups!A:A, 0))</f>
        <v/>
      </c>
      <c r="C93" s="50">
        <f>INDEX(Lookups!F:F, MATCH(A93, Lookups!A:A, 0))</f>
        <v/>
      </c>
      <c r="D93" s="70" t="n"/>
      <c r="E93" s="51">
        <f>IF(G93=1, IF(D93="Yes", "✓", IF(D93="Partial", "◐", IF(D93="Not Yet", "✗", ""))), "")</f>
        <v/>
      </c>
      <c r="F93" s="66" t="n"/>
      <c r="G93" s="47">
        <f>IFERROR(IF(MATCH(A93, Lookups!A:A, 0)&gt;0, 1, 0), 0)</f>
        <v/>
      </c>
      <c r="H93" s="47">
        <f>IFERROR(N(INDEX(Lookups!G:G, MATCH(A93, Lookups!A:A, 0))), 0)</f>
        <v/>
      </c>
      <c r="I93" s="47">
        <f>IFERROR(INDEX(Lookups!J:J, MATCH(A93, Lookups!A:A, 0)), "")</f>
        <v/>
      </c>
      <c r="J93" s="47">
        <f>IF(D93="Yes", TRUE, IF(D93="Partial", FALSE, IF(D93="Not Yet", FALSE, "")))</f>
        <v/>
      </c>
      <c r="K93" s="47">
        <f>IF(G93=0, "", IF(I93="3.5.3", COUNTIFS(Sub_Row_Parent_Range, "3.5.3", Pass_Flag_Range, TRUE)=4, J93))</f>
        <v/>
      </c>
      <c r="L93" s="47">
        <f>IF(G93=1, IF(K93=TRUE, 0, H93), 0)</f>
        <v/>
      </c>
      <c r="M93" s="47">
        <f>IFERROR(INDEX(Lookups!H:H, MATCH(A93, Lookups!A:A, 0)), "")</f>
        <v/>
      </c>
      <c r="N93" s="47">
        <f>IFERROR(INDEX(Lookups!B:B, MATCH(A93, Lookups!A:A, 0)), "")</f>
        <v/>
      </c>
      <c r="O93" s="47">
        <f>IF(G93=1, IF(K93=TRUE, "", IF(A93="3.12.4", -1, IF(AND(I93="3.5.3", A93&lt;&gt;"3.5.3a"), "", ROW()))), "")</f>
        <v/>
      </c>
      <c r="R93" s="27">
        <f>IF(G93=1, IF(INDEX(Lookups!A:A, COUNTIF($G$2:$G93,1)+1)=A93, 0, 1), 0)</f>
        <v/>
      </c>
    </row>
    <row r="94" ht="87" customHeight="1" s="28">
      <c r="A94" s="48" t="inlineStr">
        <is>
          <t>3.10.5</t>
        </is>
      </c>
      <c r="B94" s="50">
        <f>INDEX(Lookups!D:D, MATCH(A94, Lookups!A:A, 0))</f>
        <v/>
      </c>
      <c r="C94" s="50">
        <f>INDEX(Lookups!F:F, MATCH(A94, Lookups!A:A, 0))</f>
        <v/>
      </c>
      <c r="D94" s="70" t="n"/>
      <c r="E94" s="51">
        <f>IF(G94=1, IF(D94="Yes", "✓", IF(D94="Partial", "◐", IF(D94="Not Yet", "✗", ""))), "")</f>
        <v/>
      </c>
      <c r="F94" s="66" t="n"/>
      <c r="G94" s="47">
        <f>IFERROR(IF(MATCH(A94, Lookups!A:A, 0)&gt;0, 1, 0), 0)</f>
        <v/>
      </c>
      <c r="H94" s="47">
        <f>IFERROR(N(INDEX(Lookups!G:G, MATCH(A94, Lookups!A:A, 0))), 0)</f>
        <v/>
      </c>
      <c r="I94" s="47">
        <f>IFERROR(INDEX(Lookups!J:J, MATCH(A94, Lookups!A:A, 0)), "")</f>
        <v/>
      </c>
      <c r="J94" s="47">
        <f>IF(D94="Yes", TRUE, IF(D94="Partial", FALSE, IF(D94="Not Yet", FALSE, "")))</f>
        <v/>
      </c>
      <c r="K94" s="47">
        <f>IF(G94=0, "", IF(I94="3.5.3", COUNTIFS(Sub_Row_Parent_Range, "3.5.3", Pass_Flag_Range, TRUE)=4, J94))</f>
        <v/>
      </c>
      <c r="L94" s="47">
        <f>IF(G94=1, IF(K94=TRUE, 0, H94), 0)</f>
        <v/>
      </c>
      <c r="M94" s="47">
        <f>IFERROR(INDEX(Lookups!H:H, MATCH(A94, Lookups!A:A, 0)), "")</f>
        <v/>
      </c>
      <c r="N94" s="47">
        <f>IFERROR(INDEX(Lookups!B:B, MATCH(A94, Lookups!A:A, 0)), "")</f>
        <v/>
      </c>
      <c r="O94" s="47">
        <f>IF(G94=1, IF(K94=TRUE, "", IF(A94="3.12.4", -1, IF(AND(I94="3.5.3", A94&lt;&gt;"3.5.3a"), "", ROW()))), "")</f>
        <v/>
      </c>
      <c r="R94" s="27">
        <f>IF(G94=1, IF(INDEX(Lookups!A:A, COUNTIF($G$2:$G94,1)+1)=A94, 0, 1), 0)</f>
        <v/>
      </c>
    </row>
    <row r="95" ht="101.5" customHeight="1" s="28">
      <c r="A95" s="48" t="inlineStr">
        <is>
          <t>3.10.6</t>
        </is>
      </c>
      <c r="B95" s="50">
        <f>INDEX(Lookups!D:D, MATCH(A95, Lookups!A:A, 0))</f>
        <v/>
      </c>
      <c r="C95" s="50">
        <f>INDEX(Lookups!F:F, MATCH(A95, Lookups!A:A, 0))</f>
        <v/>
      </c>
      <c r="D95" s="70" t="n"/>
      <c r="E95" s="51">
        <f>IF(G95=1, IF(D95="Yes", "✓", IF(D95="Partial", "◐", IF(D95="Not Yet", "✗", ""))), "")</f>
        <v/>
      </c>
      <c r="F95" s="66" t="n"/>
      <c r="G95" s="47">
        <f>IFERROR(IF(MATCH(A95, Lookups!A:A, 0)&gt;0, 1, 0), 0)</f>
        <v/>
      </c>
      <c r="H95" s="47">
        <f>IFERROR(N(INDEX(Lookups!G:G, MATCH(A95, Lookups!A:A, 0))), 0)</f>
        <v/>
      </c>
      <c r="I95" s="47">
        <f>IFERROR(INDEX(Lookups!J:J, MATCH(A95, Lookups!A:A, 0)), "")</f>
        <v/>
      </c>
      <c r="J95" s="47">
        <f>IF(D95="Yes", TRUE, IF(D95="Partial", FALSE, IF(D95="Not Yet", FALSE, "")))</f>
        <v/>
      </c>
      <c r="K95" s="47">
        <f>IF(G95=0, "", IF(I95="3.5.3", COUNTIFS(Sub_Row_Parent_Range, "3.5.3", Pass_Flag_Range, TRUE)=4, J95))</f>
        <v/>
      </c>
      <c r="L95" s="47">
        <f>IF(G95=1, IF(K95=TRUE, 0, H95), 0)</f>
        <v/>
      </c>
      <c r="M95" s="47">
        <f>IFERROR(INDEX(Lookups!H:H, MATCH(A95, Lookups!A:A, 0)), "")</f>
        <v/>
      </c>
      <c r="N95" s="47">
        <f>IFERROR(INDEX(Lookups!B:B, MATCH(A95, Lookups!A:A, 0)), "")</f>
        <v/>
      </c>
      <c r="O95" s="47">
        <f>IF(G95=1, IF(K95=TRUE, "", IF(A95="3.12.4", -1, IF(AND(I95="3.5.3", A95&lt;&gt;"3.5.3a"), "", ROW()))), "")</f>
        <v/>
      </c>
      <c r="R95" s="27">
        <f>IF(G95=1, IF(INDEX(Lookups!A:A, COUNTIF($G$2:$G95,1)+1)=A95, 0, 1), 0)</f>
        <v/>
      </c>
    </row>
    <row r="96" ht="21.75" customHeight="1" s="28">
      <c r="A96" s="44" t="inlineStr">
        <is>
          <t>═══  3.11 — Risk Assessment  (3 questions)  ═══</t>
        </is>
      </c>
      <c r="B96" s="71" t="n"/>
      <c r="C96" s="44" t="n"/>
      <c r="D96" s="44" t="n"/>
      <c r="E96" s="45">
        <f>IF(G96=1, IF(D96="Yes", "✓", IF(D96="Partial", "◐", IF(D96="Not Yet", "✗", ""))), "")</f>
        <v/>
      </c>
      <c r="F96" s="72" t="n"/>
      <c r="G96" s="47">
        <f>IFERROR(IF(MATCH(A96, Lookups!A:A, 0)&gt;0, 1, 0), 0)</f>
        <v/>
      </c>
      <c r="H96" s="47">
        <f>IFERROR(N(INDEX(Lookups!G:G, MATCH(A96, Lookups!A:A, 0))), 0)</f>
        <v/>
      </c>
      <c r="I96" s="47">
        <f>IFERROR(INDEX(Lookups!J:J, MATCH(A96, Lookups!A:A, 0)), "")</f>
        <v/>
      </c>
      <c r="J96" s="47">
        <f>IF(D96="Yes", TRUE, IF(D96="Partial", FALSE, IF(D96="Not Yet", FALSE, "")))</f>
        <v/>
      </c>
      <c r="K96" s="47">
        <f>IF(G96=0, "", IF(I96="3.5.3", COUNTIFS(Sub_Row_Parent_Range, "3.5.3", Pass_Flag_Range, TRUE)=4, J96))</f>
        <v/>
      </c>
      <c r="L96" s="47">
        <f>IF(G96=1, IF(K96=TRUE, 0, H96), 0)</f>
        <v/>
      </c>
      <c r="M96" s="47">
        <f>IFERROR(INDEX(Lookups!H:H, MATCH(A96, Lookups!A:A, 0)), "")</f>
        <v/>
      </c>
      <c r="N96" s="47">
        <f>IFERROR(INDEX(Lookups!B:B, MATCH(A96, Lookups!A:A, 0)), "")</f>
        <v/>
      </c>
      <c r="O96" s="47">
        <f>IF(G96=1, IF(K96=TRUE, "", IF(A96="3.12.4", -1, IF(AND(I96="3.5.3", A96&lt;&gt;"3.5.3a"), "", ROW()))), "")</f>
        <v/>
      </c>
      <c r="R96" s="27">
        <f>IF(G96=1, IF(INDEX(Lookups!A:A, COUNTIF($G$2:$G96,1)+1)=A96, 0, 1), 0)</f>
        <v/>
      </c>
    </row>
    <row r="97" ht="101.5" customHeight="1" s="28">
      <c r="A97" s="48" t="inlineStr">
        <is>
          <t>3.11.1</t>
        </is>
      </c>
      <c r="B97" s="50">
        <f>INDEX(Lookups!D:D, MATCH(A97, Lookups!A:A, 0))</f>
        <v/>
      </c>
      <c r="C97" s="50">
        <f>INDEX(Lookups!F:F, MATCH(A97, Lookups!A:A, 0))</f>
        <v/>
      </c>
      <c r="D97" s="70" t="n"/>
      <c r="E97" s="51">
        <f>IF(G97=1, IF(D97="Yes", "✓", IF(D97="Partial", "◐", IF(D97="Not Yet", "✗", ""))), "")</f>
        <v/>
      </c>
      <c r="F97" s="66" t="n"/>
      <c r="G97" s="47">
        <f>IFERROR(IF(MATCH(A97, Lookups!A:A, 0)&gt;0, 1, 0), 0)</f>
        <v/>
      </c>
      <c r="H97" s="47">
        <f>IFERROR(N(INDEX(Lookups!G:G, MATCH(A97, Lookups!A:A, 0))), 0)</f>
        <v/>
      </c>
      <c r="I97" s="47">
        <f>IFERROR(INDEX(Lookups!J:J, MATCH(A97, Lookups!A:A, 0)), "")</f>
        <v/>
      </c>
      <c r="J97" s="47">
        <f>IF(D97="Yes", TRUE, IF(D97="Partial", FALSE, IF(D97="Not Yet", FALSE, "")))</f>
        <v/>
      </c>
      <c r="K97" s="47">
        <f>IF(G97=0, "", IF(I97="3.5.3", COUNTIFS(Sub_Row_Parent_Range, "3.5.3", Pass_Flag_Range, TRUE)=4, J97))</f>
        <v/>
      </c>
      <c r="L97" s="47">
        <f>IF(G97=1, IF(K97=TRUE, 0, H97), 0)</f>
        <v/>
      </c>
      <c r="M97" s="47">
        <f>IFERROR(INDEX(Lookups!H:H, MATCH(A97, Lookups!A:A, 0)), "")</f>
        <v/>
      </c>
      <c r="N97" s="47">
        <f>IFERROR(INDEX(Lookups!B:B, MATCH(A97, Lookups!A:A, 0)), "")</f>
        <v/>
      </c>
      <c r="O97" s="47">
        <f>IF(G97=1, IF(K97=TRUE, "", IF(A97="3.12.4", -1, IF(AND(I97="3.5.3", A97&lt;&gt;"3.5.3a"), "", ROW()))), "")</f>
        <v/>
      </c>
      <c r="R97" s="27">
        <f>IF(G97=1, IF(INDEX(Lookups!A:A, COUNTIF($G$2:$G97,1)+1)=A97, 0, 1), 0)</f>
        <v/>
      </c>
    </row>
    <row r="98" ht="87" customHeight="1" s="28">
      <c r="A98" s="48" t="inlineStr">
        <is>
          <t>3.11.2</t>
        </is>
      </c>
      <c r="B98" s="50">
        <f>INDEX(Lookups!D:D, MATCH(A98, Lookups!A:A, 0))</f>
        <v/>
      </c>
      <c r="C98" s="50">
        <f>INDEX(Lookups!F:F, MATCH(A98, Lookups!A:A, 0))</f>
        <v/>
      </c>
      <c r="D98" s="70" t="n"/>
      <c r="E98" s="51">
        <f>IF(G98=1, IF(D98="Yes", "✓", IF(D98="Partial", "◐", IF(D98="Not Yet", "✗", ""))), "")</f>
        <v/>
      </c>
      <c r="F98" s="66" t="n"/>
      <c r="G98" s="47">
        <f>IFERROR(IF(MATCH(A98, Lookups!A:A, 0)&gt;0, 1, 0), 0)</f>
        <v/>
      </c>
      <c r="H98" s="47">
        <f>IFERROR(N(INDEX(Lookups!G:G, MATCH(A98, Lookups!A:A, 0))), 0)</f>
        <v/>
      </c>
      <c r="I98" s="47">
        <f>IFERROR(INDEX(Lookups!J:J, MATCH(A98, Lookups!A:A, 0)), "")</f>
        <v/>
      </c>
      <c r="J98" s="47">
        <f>IF(D98="Yes", TRUE, IF(D98="Partial", FALSE, IF(D98="Not Yet", FALSE, "")))</f>
        <v/>
      </c>
      <c r="K98" s="47">
        <f>IF(G98=0, "", IF(I98="3.5.3", COUNTIFS(Sub_Row_Parent_Range, "3.5.3", Pass_Flag_Range, TRUE)=4, J98))</f>
        <v/>
      </c>
      <c r="L98" s="47">
        <f>IF(G98=1, IF(K98=TRUE, 0, H98), 0)</f>
        <v/>
      </c>
      <c r="M98" s="47">
        <f>IFERROR(INDEX(Lookups!H:H, MATCH(A98, Lookups!A:A, 0)), "")</f>
        <v/>
      </c>
      <c r="N98" s="47">
        <f>IFERROR(INDEX(Lookups!B:B, MATCH(A98, Lookups!A:A, 0)), "")</f>
        <v/>
      </c>
      <c r="O98" s="47">
        <f>IF(G98=1, IF(K98=TRUE, "", IF(A98="3.12.4", -1, IF(AND(I98="3.5.3", A98&lt;&gt;"3.5.3a"), "", ROW()))), "")</f>
        <v/>
      </c>
      <c r="R98" s="27">
        <f>IF(G98=1, IF(INDEX(Lookups!A:A, COUNTIF($G$2:$G98,1)+1)=A98, 0, 1), 0)</f>
        <v/>
      </c>
    </row>
    <row r="99" ht="101.5" customHeight="1" s="28">
      <c r="A99" s="48" t="inlineStr">
        <is>
          <t>3.11.3</t>
        </is>
      </c>
      <c r="B99" s="50">
        <f>INDEX(Lookups!D:D, MATCH(A99, Lookups!A:A, 0))</f>
        <v/>
      </c>
      <c r="C99" s="50">
        <f>INDEX(Lookups!F:F, MATCH(A99, Lookups!A:A, 0))</f>
        <v/>
      </c>
      <c r="D99" s="70" t="n"/>
      <c r="E99" s="51">
        <f>IF(G99=1, IF(D99="Yes", "✓", IF(D99="Partial", "◐", IF(D99="Not Yet", "✗", ""))), "")</f>
        <v/>
      </c>
      <c r="F99" s="66" t="n"/>
      <c r="G99" s="47">
        <f>IFERROR(IF(MATCH(A99, Lookups!A:A, 0)&gt;0, 1, 0), 0)</f>
        <v/>
      </c>
      <c r="H99" s="47">
        <f>IFERROR(N(INDEX(Lookups!G:G, MATCH(A99, Lookups!A:A, 0))), 0)</f>
        <v/>
      </c>
      <c r="I99" s="47">
        <f>IFERROR(INDEX(Lookups!J:J, MATCH(A99, Lookups!A:A, 0)), "")</f>
        <v/>
      </c>
      <c r="J99" s="47">
        <f>IF(D99="Yes", TRUE, IF(D99="Partial", FALSE, IF(D99="Not Yet", FALSE, "")))</f>
        <v/>
      </c>
      <c r="K99" s="47">
        <f>IF(G99=0, "", IF(I99="3.5.3", COUNTIFS(Sub_Row_Parent_Range, "3.5.3", Pass_Flag_Range, TRUE)=4, J99))</f>
        <v/>
      </c>
      <c r="L99" s="47">
        <f>IF(G99=1, IF(K99=TRUE, 0, H99), 0)</f>
        <v/>
      </c>
      <c r="M99" s="47">
        <f>IFERROR(INDEX(Lookups!H:H, MATCH(A99, Lookups!A:A, 0)), "")</f>
        <v/>
      </c>
      <c r="N99" s="47">
        <f>IFERROR(INDEX(Lookups!B:B, MATCH(A99, Lookups!A:A, 0)), "")</f>
        <v/>
      </c>
      <c r="O99" s="47">
        <f>IF(G99=1, IF(K99=TRUE, "", IF(A99="3.12.4", -1, IF(AND(I99="3.5.3", A99&lt;&gt;"3.5.3a"), "", ROW()))), "")</f>
        <v/>
      </c>
      <c r="R99" s="27">
        <f>IF(G99=1, IF(INDEX(Lookups!A:A, COUNTIF($G$2:$G99,1)+1)=A99, 0, 1), 0)</f>
        <v/>
      </c>
    </row>
    <row r="100" ht="21.75" customHeight="1" s="28">
      <c r="A100" s="44" t="inlineStr">
        <is>
          <t>═══  3.12 — Security Assessment  (4 questions)  ═══</t>
        </is>
      </c>
      <c r="B100" s="71" t="n"/>
      <c r="C100" s="44" t="n"/>
      <c r="D100" s="44" t="n"/>
      <c r="E100" s="45">
        <f>IF(G100=1, IF(D100="Yes", "✓", IF(D100="Partial", "◐", IF(D100="Not Yet", "✗", ""))), "")</f>
        <v/>
      </c>
      <c r="F100" s="72" t="n"/>
      <c r="G100" s="47">
        <f>IFERROR(IF(MATCH(A100, Lookups!A:A, 0)&gt;0, 1, 0), 0)</f>
        <v/>
      </c>
      <c r="H100" s="47">
        <f>IFERROR(N(INDEX(Lookups!G:G, MATCH(A100, Lookups!A:A, 0))), 0)</f>
        <v/>
      </c>
      <c r="I100" s="47">
        <f>IFERROR(INDEX(Lookups!J:J, MATCH(A100, Lookups!A:A, 0)), "")</f>
        <v/>
      </c>
      <c r="J100" s="47">
        <f>IF(D100="Yes", TRUE, IF(D100="Partial", FALSE, IF(D100="Not Yet", FALSE, "")))</f>
        <v/>
      </c>
      <c r="K100" s="47">
        <f>IF(G100=0, "", IF(I100="3.5.3", COUNTIFS(Sub_Row_Parent_Range, "3.5.3", Pass_Flag_Range, TRUE)=4, J100))</f>
        <v/>
      </c>
      <c r="L100" s="47">
        <f>IF(G100=1, IF(K100=TRUE, 0, H100), 0)</f>
        <v/>
      </c>
      <c r="M100" s="47">
        <f>IFERROR(INDEX(Lookups!H:H, MATCH(A100, Lookups!A:A, 0)), "")</f>
        <v/>
      </c>
      <c r="N100" s="47">
        <f>IFERROR(INDEX(Lookups!B:B, MATCH(A100, Lookups!A:A, 0)), "")</f>
        <v/>
      </c>
      <c r="O100" s="47">
        <f>IF(G100=1, IF(K100=TRUE, "", IF(A100="3.12.4", -1, IF(AND(I100="3.5.3", A100&lt;&gt;"3.5.3a"), "", ROW()))), "")</f>
        <v/>
      </c>
      <c r="R100" s="27">
        <f>IF(G100=1, IF(INDEX(Lookups!A:A, COUNTIF($G$2:$G100,1)+1)=A100, 0, 1), 0)</f>
        <v/>
      </c>
    </row>
    <row r="101" ht="116" customHeight="1" s="28">
      <c r="A101" s="48" t="inlineStr">
        <is>
          <t>3.12.1</t>
        </is>
      </c>
      <c r="B101" s="50">
        <f>INDEX(Lookups!D:D, MATCH(A101, Lookups!A:A, 0))</f>
        <v/>
      </c>
      <c r="C101" s="50">
        <f>INDEX(Lookups!F:F, MATCH(A101, Lookups!A:A, 0))</f>
        <v/>
      </c>
      <c r="D101" s="70" t="n"/>
      <c r="E101" s="51">
        <f>IF(G101=1, IF(D101="Yes", "✓", IF(D101="Partial", "◐", IF(D101="Not Yet", "✗", ""))), "")</f>
        <v/>
      </c>
      <c r="F101" s="66" t="n"/>
      <c r="G101" s="47">
        <f>IFERROR(IF(MATCH(A101, Lookups!A:A, 0)&gt;0, 1, 0), 0)</f>
        <v/>
      </c>
      <c r="H101" s="47">
        <f>IFERROR(N(INDEX(Lookups!G:G, MATCH(A101, Lookups!A:A, 0))), 0)</f>
        <v/>
      </c>
      <c r="I101" s="47">
        <f>IFERROR(INDEX(Lookups!J:J, MATCH(A101, Lookups!A:A, 0)), "")</f>
        <v/>
      </c>
      <c r="J101" s="47">
        <f>IF(D101="Yes", TRUE, IF(D101="Partial", FALSE, IF(D101="Not Yet", FALSE, "")))</f>
        <v/>
      </c>
      <c r="K101" s="47">
        <f>IF(G101=0, "", IF(I101="3.5.3", COUNTIFS(Sub_Row_Parent_Range, "3.5.3", Pass_Flag_Range, TRUE)=4, J101))</f>
        <v/>
      </c>
      <c r="L101" s="47">
        <f>IF(G101=1, IF(K101=TRUE, 0, H101), 0)</f>
        <v/>
      </c>
      <c r="M101" s="47">
        <f>IFERROR(INDEX(Lookups!H:H, MATCH(A101, Lookups!A:A, 0)), "")</f>
        <v/>
      </c>
      <c r="N101" s="47">
        <f>IFERROR(INDEX(Lookups!B:B, MATCH(A101, Lookups!A:A, 0)), "")</f>
        <v/>
      </c>
      <c r="O101" s="47">
        <f>IF(G101=1, IF(K101=TRUE, "", IF(A101="3.12.4", -1, IF(AND(I101="3.5.3", A101&lt;&gt;"3.5.3a"), "", ROW()))), "")</f>
        <v/>
      </c>
      <c r="R101" s="27">
        <f>IF(G101=1, IF(INDEX(Lookups!A:A, COUNTIF($G$2:$G101,1)+1)=A101, 0, 1), 0)</f>
        <v/>
      </c>
    </row>
    <row r="102" ht="159.5" customHeight="1" s="28">
      <c r="A102" s="48" t="inlineStr">
        <is>
          <t>3.12.2</t>
        </is>
      </c>
      <c r="B102" s="50">
        <f>INDEX(Lookups!D:D, MATCH(A102, Lookups!A:A, 0))</f>
        <v/>
      </c>
      <c r="C102" s="50">
        <f>INDEX(Lookups!F:F, MATCH(A102, Lookups!A:A, 0))</f>
        <v/>
      </c>
      <c r="D102" s="70" t="n"/>
      <c r="E102" s="51">
        <f>IF(G102=1, IF(D102="Yes", "✓", IF(D102="Partial", "◐", IF(D102="Not Yet", "✗", ""))), "")</f>
        <v/>
      </c>
      <c r="F102" s="66" t="n"/>
      <c r="G102" s="47">
        <f>IFERROR(IF(MATCH(A102, Lookups!A:A, 0)&gt;0, 1, 0), 0)</f>
        <v/>
      </c>
      <c r="H102" s="47">
        <f>IFERROR(N(INDEX(Lookups!G:G, MATCH(A102, Lookups!A:A, 0))), 0)</f>
        <v/>
      </c>
      <c r="I102" s="47">
        <f>IFERROR(INDEX(Lookups!J:J, MATCH(A102, Lookups!A:A, 0)), "")</f>
        <v/>
      </c>
      <c r="J102" s="47">
        <f>IF(D102="Yes", TRUE, IF(D102="Partial", FALSE, IF(D102="Not Yet", FALSE, "")))</f>
        <v/>
      </c>
      <c r="K102" s="47">
        <f>IF(G102=0, "", IF(I102="3.5.3", COUNTIFS(Sub_Row_Parent_Range, "3.5.3", Pass_Flag_Range, TRUE)=4, J102))</f>
        <v/>
      </c>
      <c r="L102" s="47">
        <f>IF(G102=1, IF(K102=TRUE, 0, H102), 0)</f>
        <v/>
      </c>
      <c r="M102" s="47">
        <f>IFERROR(INDEX(Lookups!H:H, MATCH(A102, Lookups!A:A, 0)), "")</f>
        <v/>
      </c>
      <c r="N102" s="47">
        <f>IFERROR(INDEX(Lookups!B:B, MATCH(A102, Lookups!A:A, 0)), "")</f>
        <v/>
      </c>
      <c r="O102" s="47">
        <f>IF(G102=1, IF(K102=TRUE, "", IF(A102="3.12.4", -1, IF(AND(I102="3.5.3", A102&lt;&gt;"3.5.3a"), "", ROW()))), "")</f>
        <v/>
      </c>
      <c r="R102" s="27">
        <f>IF(G102=1, IF(INDEX(Lookups!A:A, COUNTIF($G$2:$G102,1)+1)=A102, 0, 1), 0)</f>
        <v/>
      </c>
    </row>
    <row r="103" ht="116" customHeight="1" s="28">
      <c r="A103" s="48" t="inlineStr">
        <is>
          <t>3.12.3</t>
        </is>
      </c>
      <c r="B103" s="50">
        <f>INDEX(Lookups!D:D, MATCH(A103, Lookups!A:A, 0))</f>
        <v/>
      </c>
      <c r="C103" s="50">
        <f>INDEX(Lookups!F:F, MATCH(A103, Lookups!A:A, 0))</f>
        <v/>
      </c>
      <c r="D103" s="70" t="n"/>
      <c r="E103" s="51">
        <f>IF(G103=1, IF(D103="Yes", "✓", IF(D103="Partial", "◐", IF(D103="Not Yet", "✗", ""))), "")</f>
        <v/>
      </c>
      <c r="F103" s="66" t="n"/>
      <c r="G103" s="47">
        <f>IFERROR(IF(MATCH(A103, Lookups!A:A, 0)&gt;0, 1, 0), 0)</f>
        <v/>
      </c>
      <c r="H103" s="47">
        <f>IFERROR(N(INDEX(Lookups!G:G, MATCH(A103, Lookups!A:A, 0))), 0)</f>
        <v/>
      </c>
      <c r="I103" s="47">
        <f>IFERROR(INDEX(Lookups!J:J, MATCH(A103, Lookups!A:A, 0)), "")</f>
        <v/>
      </c>
      <c r="J103" s="47">
        <f>IF(D103="Yes", TRUE, IF(D103="Partial", FALSE, IF(D103="Not Yet", FALSE, "")))</f>
        <v/>
      </c>
      <c r="K103" s="47">
        <f>IF(G103=0, "", IF(I103="3.5.3", COUNTIFS(Sub_Row_Parent_Range, "3.5.3", Pass_Flag_Range, TRUE)=4, J103))</f>
        <v/>
      </c>
      <c r="L103" s="47">
        <f>IF(G103=1, IF(K103=TRUE, 0, H103), 0)</f>
        <v/>
      </c>
      <c r="M103" s="47">
        <f>IFERROR(INDEX(Lookups!H:H, MATCH(A103, Lookups!A:A, 0)), "")</f>
        <v/>
      </c>
      <c r="N103" s="47">
        <f>IFERROR(INDEX(Lookups!B:B, MATCH(A103, Lookups!A:A, 0)), "")</f>
        <v/>
      </c>
      <c r="O103" s="47">
        <f>IF(G103=1, IF(K103=TRUE, "", IF(A103="3.12.4", -1, IF(AND(I103="3.5.3", A103&lt;&gt;"3.5.3a"), "", ROW()))), "")</f>
        <v/>
      </c>
      <c r="R103" s="27">
        <f>IF(G103=1, IF(INDEX(Lookups!A:A, COUNTIF($G$2:$G103,1)+1)=A103, 0, 1), 0)</f>
        <v/>
      </c>
    </row>
    <row r="104" ht="101.5" customHeight="1" s="28">
      <c r="A104" s="48" t="inlineStr">
        <is>
          <t>3.12.4</t>
        </is>
      </c>
      <c r="B104" s="50">
        <f>INDEX(Lookups!D:D, MATCH(A104, Lookups!A:A, 0))</f>
        <v/>
      </c>
      <c r="C104" s="50">
        <f>INDEX(Lookups!F:F, MATCH(A104, Lookups!A:A, 0))</f>
        <v/>
      </c>
      <c r="D104" s="70" t="n"/>
      <c r="E104" s="51">
        <f>IF(G104=1, IF(D104="Yes", "✓", IF(D104="Partial", "◐", IF(D104="Not Yet", "✗", ""))), "")</f>
        <v/>
      </c>
      <c r="F104" s="66" t="n"/>
      <c r="G104" s="47">
        <f>IFERROR(IF(MATCH(A104, Lookups!A:A, 0)&gt;0, 1, 0), 0)</f>
        <v/>
      </c>
      <c r="H104" s="47">
        <f>IFERROR(N(INDEX(Lookups!G:G, MATCH(A104, Lookups!A:A, 0))), 0)</f>
        <v/>
      </c>
      <c r="I104" s="47">
        <f>IFERROR(INDEX(Lookups!J:J, MATCH(A104, Lookups!A:A, 0)), "")</f>
        <v/>
      </c>
      <c r="J104" s="47">
        <f>IF(D104="Yes", TRUE, IF(D104="Partial", FALSE, IF(D104="Not Yet", FALSE, "")))</f>
        <v/>
      </c>
      <c r="K104" s="47">
        <f>IF(G104=0, "", IF(I104="3.5.3", COUNTIFS(Sub_Row_Parent_Range, "3.5.3", Pass_Flag_Range, TRUE)=4, J104))</f>
        <v/>
      </c>
      <c r="L104" s="47">
        <f>IF(G104=1, IF(K104=TRUE, 0, H104), 0)</f>
        <v/>
      </c>
      <c r="M104" s="47">
        <f>IFERROR(INDEX(Lookups!H:H, MATCH(A104, Lookups!A:A, 0)), "")</f>
        <v/>
      </c>
      <c r="N104" s="47">
        <f>IFERROR(INDEX(Lookups!B:B, MATCH(A104, Lookups!A:A, 0)), "")</f>
        <v/>
      </c>
      <c r="O104" s="47">
        <f>IF(G104=1, IF(K104=TRUE, "", IF(A104="3.12.4", -1, IF(AND(I104="3.5.3", A104&lt;&gt;"3.5.3a"), "", ROW()))), "")</f>
        <v/>
      </c>
      <c r="R104" s="27">
        <f>IF(G104=1, IF(INDEX(Lookups!A:A, COUNTIF($G$2:$G104,1)+1)=A104, 0, 1), 0)</f>
        <v/>
      </c>
    </row>
    <row r="105" ht="21.75" customHeight="1" s="28">
      <c r="A105" s="44" t="inlineStr">
        <is>
          <t>═══  3.13 — System &amp; Communications Protection  (16 questions)  ═══</t>
        </is>
      </c>
      <c r="B105" s="71" t="n"/>
      <c r="C105" s="44" t="n"/>
      <c r="D105" s="44" t="n"/>
      <c r="E105" s="45">
        <f>IF(G105=1, IF(D105="Yes", "✓", IF(D105="Partial", "◐", IF(D105="Not Yet", "✗", ""))), "")</f>
        <v/>
      </c>
      <c r="F105" s="72" t="n"/>
      <c r="G105" s="47">
        <f>IFERROR(IF(MATCH(A105, Lookups!A:A, 0)&gt;0, 1, 0), 0)</f>
        <v/>
      </c>
      <c r="H105" s="47">
        <f>IFERROR(N(INDEX(Lookups!G:G, MATCH(A105, Lookups!A:A, 0))), 0)</f>
        <v/>
      </c>
      <c r="I105" s="47">
        <f>IFERROR(INDEX(Lookups!J:J, MATCH(A105, Lookups!A:A, 0)), "")</f>
        <v/>
      </c>
      <c r="J105" s="47">
        <f>IF(D105="Yes", TRUE, IF(D105="Partial", FALSE, IF(D105="Not Yet", FALSE, "")))</f>
        <v/>
      </c>
      <c r="K105" s="47">
        <f>IF(G105=0, "", IF(I105="3.5.3", COUNTIFS(Sub_Row_Parent_Range, "3.5.3", Pass_Flag_Range, TRUE)=4, J105))</f>
        <v/>
      </c>
      <c r="L105" s="47">
        <f>IF(G105=1, IF(K105=TRUE, 0, H105), 0)</f>
        <v/>
      </c>
      <c r="M105" s="47">
        <f>IFERROR(INDEX(Lookups!H:H, MATCH(A105, Lookups!A:A, 0)), "")</f>
        <v/>
      </c>
      <c r="N105" s="47">
        <f>IFERROR(INDEX(Lookups!B:B, MATCH(A105, Lookups!A:A, 0)), "")</f>
        <v/>
      </c>
      <c r="O105" s="47">
        <f>IF(G105=1, IF(K105=TRUE, "", IF(A105="3.12.4", -1, IF(AND(I105="3.5.3", A105&lt;&gt;"3.5.3a"), "", ROW()))), "")</f>
        <v/>
      </c>
      <c r="R105" s="27">
        <f>IF(G105=1, IF(INDEX(Lookups!A:A, COUNTIF($G$2:$G105,1)+1)=A105, 0, 1), 0)</f>
        <v/>
      </c>
    </row>
    <row r="106" ht="116" customHeight="1" s="28">
      <c r="A106" s="48" t="inlineStr">
        <is>
          <t>3.13.1</t>
        </is>
      </c>
      <c r="B106" s="50">
        <f>INDEX(Lookups!D:D, MATCH(A106, Lookups!A:A, 0))</f>
        <v/>
      </c>
      <c r="C106" s="50">
        <f>INDEX(Lookups!F:F, MATCH(A106, Lookups!A:A, 0))</f>
        <v/>
      </c>
      <c r="D106" s="70" t="n"/>
      <c r="E106" s="51">
        <f>IF(G106=1, IF(D106="Yes", "✓", IF(D106="Partial", "◐", IF(D106="Not Yet", "✗", ""))), "")</f>
        <v/>
      </c>
      <c r="F106" s="66" t="n"/>
      <c r="G106" s="47">
        <f>IFERROR(IF(MATCH(A106, Lookups!A:A, 0)&gt;0, 1, 0), 0)</f>
        <v/>
      </c>
      <c r="H106" s="47">
        <f>IFERROR(N(INDEX(Lookups!G:G, MATCH(A106, Lookups!A:A, 0))), 0)</f>
        <v/>
      </c>
      <c r="I106" s="47">
        <f>IFERROR(INDEX(Lookups!J:J, MATCH(A106, Lookups!A:A, 0)), "")</f>
        <v/>
      </c>
      <c r="J106" s="47">
        <f>IF(D106="Yes", TRUE, IF(D106="Partial", FALSE, IF(D106="Not Yet", FALSE, "")))</f>
        <v/>
      </c>
      <c r="K106" s="47">
        <f>IF(G106=0, "", IF(I106="3.5.3", COUNTIFS(Sub_Row_Parent_Range, "3.5.3", Pass_Flag_Range, TRUE)=4, J106))</f>
        <v/>
      </c>
      <c r="L106" s="47">
        <f>IF(G106=1, IF(K106=TRUE, 0, H106), 0)</f>
        <v/>
      </c>
      <c r="M106" s="47">
        <f>IFERROR(INDEX(Lookups!H:H, MATCH(A106, Lookups!A:A, 0)), "")</f>
        <v/>
      </c>
      <c r="N106" s="47">
        <f>IFERROR(INDEX(Lookups!B:B, MATCH(A106, Lookups!A:A, 0)), "")</f>
        <v/>
      </c>
      <c r="O106" s="47">
        <f>IF(G106=1, IF(K106=TRUE, "", IF(A106="3.12.4", -1, IF(AND(I106="3.5.3", A106&lt;&gt;"3.5.3a"), "", ROW()))), "")</f>
        <v/>
      </c>
      <c r="R106" s="27">
        <f>IF(G106=1, IF(INDEX(Lookups!A:A, COUNTIF($G$2:$G106,1)+1)=A106, 0, 1), 0)</f>
        <v/>
      </c>
    </row>
    <row r="107" ht="101.5" customHeight="1" s="28">
      <c r="A107" s="48" t="inlineStr">
        <is>
          <t>3.13.2</t>
        </is>
      </c>
      <c r="B107" s="50">
        <f>INDEX(Lookups!D:D, MATCH(A107, Lookups!A:A, 0))</f>
        <v/>
      </c>
      <c r="C107" s="50">
        <f>INDEX(Lookups!F:F, MATCH(A107, Lookups!A:A, 0))</f>
        <v/>
      </c>
      <c r="D107" s="70" t="n"/>
      <c r="E107" s="51">
        <f>IF(G107=1, IF(D107="Yes", "✓", IF(D107="Partial", "◐", IF(D107="Not Yet", "✗", ""))), "")</f>
        <v/>
      </c>
      <c r="F107" s="66" t="n"/>
      <c r="G107" s="47">
        <f>IFERROR(IF(MATCH(A107, Lookups!A:A, 0)&gt;0, 1, 0), 0)</f>
        <v/>
      </c>
      <c r="H107" s="47">
        <f>IFERROR(N(INDEX(Lookups!G:G, MATCH(A107, Lookups!A:A, 0))), 0)</f>
        <v/>
      </c>
      <c r="I107" s="47">
        <f>IFERROR(INDEX(Lookups!J:J, MATCH(A107, Lookups!A:A, 0)), "")</f>
        <v/>
      </c>
      <c r="J107" s="47">
        <f>IF(D107="Yes", TRUE, IF(D107="Partial", FALSE, IF(D107="Not Yet", FALSE, "")))</f>
        <v/>
      </c>
      <c r="K107" s="47">
        <f>IF(G107=0, "", IF(I107="3.5.3", COUNTIFS(Sub_Row_Parent_Range, "3.5.3", Pass_Flag_Range, TRUE)=4, J107))</f>
        <v/>
      </c>
      <c r="L107" s="47">
        <f>IF(G107=1, IF(K107=TRUE, 0, H107), 0)</f>
        <v/>
      </c>
      <c r="M107" s="47">
        <f>IFERROR(INDEX(Lookups!H:H, MATCH(A107, Lookups!A:A, 0)), "")</f>
        <v/>
      </c>
      <c r="N107" s="47">
        <f>IFERROR(INDEX(Lookups!B:B, MATCH(A107, Lookups!A:A, 0)), "")</f>
        <v/>
      </c>
      <c r="O107" s="47">
        <f>IF(G107=1, IF(K107=TRUE, "", IF(A107="3.12.4", -1, IF(AND(I107="3.5.3", A107&lt;&gt;"3.5.3a"), "", ROW()))), "")</f>
        <v/>
      </c>
      <c r="R107" s="27">
        <f>IF(G107=1, IF(INDEX(Lookups!A:A, COUNTIF($G$2:$G107,1)+1)=A107, 0, 1), 0)</f>
        <v/>
      </c>
    </row>
    <row r="108" ht="101.5" customHeight="1" s="28">
      <c r="A108" s="48" t="inlineStr">
        <is>
          <t>3.13.3</t>
        </is>
      </c>
      <c r="B108" s="50">
        <f>INDEX(Lookups!D:D, MATCH(A108, Lookups!A:A, 0))</f>
        <v/>
      </c>
      <c r="C108" s="50">
        <f>INDEX(Lookups!F:F, MATCH(A108, Lookups!A:A, 0))</f>
        <v/>
      </c>
      <c r="D108" s="70" t="n"/>
      <c r="E108" s="51">
        <f>IF(G108=1, IF(D108="Yes", "✓", IF(D108="Partial", "◐", IF(D108="Not Yet", "✗", ""))), "")</f>
        <v/>
      </c>
      <c r="F108" s="66" t="n"/>
      <c r="G108" s="47">
        <f>IFERROR(IF(MATCH(A108, Lookups!A:A, 0)&gt;0, 1, 0), 0)</f>
        <v/>
      </c>
      <c r="H108" s="47">
        <f>IFERROR(N(INDEX(Lookups!G:G, MATCH(A108, Lookups!A:A, 0))), 0)</f>
        <v/>
      </c>
      <c r="I108" s="47">
        <f>IFERROR(INDEX(Lookups!J:J, MATCH(A108, Lookups!A:A, 0)), "")</f>
        <v/>
      </c>
      <c r="J108" s="47">
        <f>IF(D108="Yes", TRUE, IF(D108="Partial", FALSE, IF(D108="Not Yet", FALSE, "")))</f>
        <v/>
      </c>
      <c r="K108" s="47">
        <f>IF(G108=0, "", IF(I108="3.5.3", COUNTIFS(Sub_Row_Parent_Range, "3.5.3", Pass_Flag_Range, TRUE)=4, J108))</f>
        <v/>
      </c>
      <c r="L108" s="47">
        <f>IF(G108=1, IF(K108=TRUE, 0, H108), 0)</f>
        <v/>
      </c>
      <c r="M108" s="47">
        <f>IFERROR(INDEX(Lookups!H:H, MATCH(A108, Lookups!A:A, 0)), "")</f>
        <v/>
      </c>
      <c r="N108" s="47">
        <f>IFERROR(INDEX(Lookups!B:B, MATCH(A108, Lookups!A:A, 0)), "")</f>
        <v/>
      </c>
      <c r="O108" s="47">
        <f>IF(G108=1, IF(K108=TRUE, "", IF(A108="3.12.4", -1, IF(AND(I108="3.5.3", A108&lt;&gt;"3.5.3a"), "", ROW()))), "")</f>
        <v/>
      </c>
      <c r="R108" s="27">
        <f>IF(G108=1, IF(INDEX(Lookups!A:A, COUNTIF($G$2:$G108,1)+1)=A108, 0, 1), 0)</f>
        <v/>
      </c>
    </row>
    <row r="109" ht="116" customHeight="1" s="28">
      <c r="A109" s="48" t="inlineStr">
        <is>
          <t>3.13.4</t>
        </is>
      </c>
      <c r="B109" s="50">
        <f>INDEX(Lookups!D:D, MATCH(A109, Lookups!A:A, 0))</f>
        <v/>
      </c>
      <c r="C109" s="50">
        <f>INDEX(Lookups!F:F, MATCH(A109, Lookups!A:A, 0))</f>
        <v/>
      </c>
      <c r="D109" s="70" t="n"/>
      <c r="E109" s="51">
        <f>IF(G109=1, IF(D109="Yes", "✓", IF(D109="Partial", "◐", IF(D109="Not Yet", "✗", ""))), "")</f>
        <v/>
      </c>
      <c r="F109" s="66" t="n"/>
      <c r="G109" s="47">
        <f>IFERROR(IF(MATCH(A109, Lookups!A:A, 0)&gt;0, 1, 0), 0)</f>
        <v/>
      </c>
      <c r="H109" s="47">
        <f>IFERROR(N(INDEX(Lookups!G:G, MATCH(A109, Lookups!A:A, 0))), 0)</f>
        <v/>
      </c>
      <c r="I109" s="47">
        <f>IFERROR(INDEX(Lookups!J:J, MATCH(A109, Lookups!A:A, 0)), "")</f>
        <v/>
      </c>
      <c r="J109" s="47">
        <f>IF(D109="Yes", TRUE, IF(D109="Partial", FALSE, IF(D109="Not Yet", FALSE, "")))</f>
        <v/>
      </c>
      <c r="K109" s="47">
        <f>IF(G109=0, "", IF(I109="3.5.3", COUNTIFS(Sub_Row_Parent_Range, "3.5.3", Pass_Flag_Range, TRUE)=4, J109))</f>
        <v/>
      </c>
      <c r="L109" s="47">
        <f>IF(G109=1, IF(K109=TRUE, 0, H109), 0)</f>
        <v/>
      </c>
      <c r="M109" s="47">
        <f>IFERROR(INDEX(Lookups!H:H, MATCH(A109, Lookups!A:A, 0)), "")</f>
        <v/>
      </c>
      <c r="N109" s="47">
        <f>IFERROR(INDEX(Lookups!B:B, MATCH(A109, Lookups!A:A, 0)), "")</f>
        <v/>
      </c>
      <c r="O109" s="47">
        <f>IF(G109=1, IF(K109=TRUE, "", IF(A109="3.12.4", -1, IF(AND(I109="3.5.3", A109&lt;&gt;"3.5.3a"), "", ROW()))), "")</f>
        <v/>
      </c>
      <c r="R109" s="27">
        <f>IF(G109=1, IF(INDEX(Lookups!A:A, COUNTIF($G$2:$G109,1)+1)=A109, 0, 1), 0)</f>
        <v/>
      </c>
    </row>
    <row r="110" ht="116" customHeight="1" s="28">
      <c r="A110" s="48" t="inlineStr">
        <is>
          <t>3.13.5</t>
        </is>
      </c>
      <c r="B110" s="50">
        <f>INDEX(Lookups!D:D, MATCH(A110, Lookups!A:A, 0))</f>
        <v/>
      </c>
      <c r="C110" s="50">
        <f>INDEX(Lookups!F:F, MATCH(A110, Lookups!A:A, 0))</f>
        <v/>
      </c>
      <c r="D110" s="70" t="n"/>
      <c r="E110" s="51">
        <f>IF(G110=1, IF(D110="Yes", "✓", IF(D110="Partial", "◐", IF(D110="Not Yet", "✗", ""))), "")</f>
        <v/>
      </c>
      <c r="F110" s="66" t="n"/>
      <c r="G110" s="47">
        <f>IFERROR(IF(MATCH(A110, Lookups!A:A, 0)&gt;0, 1, 0), 0)</f>
        <v/>
      </c>
      <c r="H110" s="47">
        <f>IFERROR(N(INDEX(Lookups!G:G, MATCH(A110, Lookups!A:A, 0))), 0)</f>
        <v/>
      </c>
      <c r="I110" s="47">
        <f>IFERROR(INDEX(Lookups!J:J, MATCH(A110, Lookups!A:A, 0)), "")</f>
        <v/>
      </c>
      <c r="J110" s="47">
        <f>IF(D110="Yes", TRUE, IF(D110="Partial", FALSE, IF(D110="Not Yet", FALSE, "")))</f>
        <v/>
      </c>
      <c r="K110" s="47">
        <f>IF(G110=0, "", IF(I110="3.5.3", COUNTIFS(Sub_Row_Parent_Range, "3.5.3", Pass_Flag_Range, TRUE)=4, J110))</f>
        <v/>
      </c>
      <c r="L110" s="47">
        <f>IF(G110=1, IF(K110=TRUE, 0, H110), 0)</f>
        <v/>
      </c>
      <c r="M110" s="47">
        <f>IFERROR(INDEX(Lookups!H:H, MATCH(A110, Lookups!A:A, 0)), "")</f>
        <v/>
      </c>
      <c r="N110" s="47">
        <f>IFERROR(INDEX(Lookups!B:B, MATCH(A110, Lookups!A:A, 0)), "")</f>
        <v/>
      </c>
      <c r="O110" s="47">
        <f>IF(G110=1, IF(K110=TRUE, "", IF(A110="3.12.4", -1, IF(AND(I110="3.5.3", A110&lt;&gt;"3.5.3a"), "", ROW()))), "")</f>
        <v/>
      </c>
      <c r="R110" s="27">
        <f>IF(G110=1, IF(INDEX(Lookups!A:A, COUNTIF($G$2:$G110,1)+1)=A110, 0, 1), 0)</f>
        <v/>
      </c>
    </row>
    <row r="111" ht="116" customHeight="1" s="28">
      <c r="A111" s="48" t="inlineStr">
        <is>
          <t>3.13.6</t>
        </is>
      </c>
      <c r="B111" s="50">
        <f>INDEX(Lookups!D:D, MATCH(A111, Lookups!A:A, 0))</f>
        <v/>
      </c>
      <c r="C111" s="50">
        <f>INDEX(Lookups!F:F, MATCH(A111, Lookups!A:A, 0))</f>
        <v/>
      </c>
      <c r="D111" s="70" t="n"/>
      <c r="E111" s="51">
        <f>IF(G111=1, IF(D111="Yes", "✓", IF(D111="Partial", "◐", IF(D111="Not Yet", "✗", ""))), "")</f>
        <v/>
      </c>
      <c r="F111" s="66" t="n"/>
      <c r="G111" s="47">
        <f>IFERROR(IF(MATCH(A111, Lookups!A:A, 0)&gt;0, 1, 0), 0)</f>
        <v/>
      </c>
      <c r="H111" s="47">
        <f>IFERROR(N(INDEX(Lookups!G:G, MATCH(A111, Lookups!A:A, 0))), 0)</f>
        <v/>
      </c>
      <c r="I111" s="47">
        <f>IFERROR(INDEX(Lookups!J:J, MATCH(A111, Lookups!A:A, 0)), "")</f>
        <v/>
      </c>
      <c r="J111" s="47">
        <f>IF(D111="Yes", TRUE, IF(D111="Partial", FALSE, IF(D111="Not Yet", FALSE, "")))</f>
        <v/>
      </c>
      <c r="K111" s="47">
        <f>IF(G111=0, "", IF(I111="3.5.3", COUNTIFS(Sub_Row_Parent_Range, "3.5.3", Pass_Flag_Range, TRUE)=4, J111))</f>
        <v/>
      </c>
      <c r="L111" s="47">
        <f>IF(G111=1, IF(K111=TRUE, 0, H111), 0)</f>
        <v/>
      </c>
      <c r="M111" s="47">
        <f>IFERROR(INDEX(Lookups!H:H, MATCH(A111, Lookups!A:A, 0)), "")</f>
        <v/>
      </c>
      <c r="N111" s="47">
        <f>IFERROR(INDEX(Lookups!B:B, MATCH(A111, Lookups!A:A, 0)), "")</f>
        <v/>
      </c>
      <c r="O111" s="47">
        <f>IF(G111=1, IF(K111=TRUE, "", IF(A111="3.12.4", -1, IF(AND(I111="3.5.3", A111&lt;&gt;"3.5.3a"), "", ROW()))), "")</f>
        <v/>
      </c>
      <c r="R111" s="27">
        <f>IF(G111=1, IF(INDEX(Lookups!A:A, COUNTIF($G$2:$G111,1)+1)=A111, 0, 1), 0)</f>
        <v/>
      </c>
    </row>
    <row r="112" ht="101.5" customHeight="1" s="28">
      <c r="A112" s="48" t="inlineStr">
        <is>
          <t>3.13.7</t>
        </is>
      </c>
      <c r="B112" s="50">
        <f>INDEX(Lookups!D:D, MATCH(A112, Lookups!A:A, 0))</f>
        <v/>
      </c>
      <c r="C112" s="50">
        <f>INDEX(Lookups!F:F, MATCH(A112, Lookups!A:A, 0))</f>
        <v/>
      </c>
      <c r="D112" s="70" t="n"/>
      <c r="E112" s="51">
        <f>IF(G112=1, IF(D112="Yes", "✓", IF(D112="Partial", "◐", IF(D112="Not Yet", "✗", ""))), "")</f>
        <v/>
      </c>
      <c r="F112" s="66" t="n"/>
      <c r="G112" s="47">
        <f>IFERROR(IF(MATCH(A112, Lookups!A:A, 0)&gt;0, 1, 0), 0)</f>
        <v/>
      </c>
      <c r="H112" s="47">
        <f>IFERROR(N(INDEX(Lookups!G:G, MATCH(A112, Lookups!A:A, 0))), 0)</f>
        <v/>
      </c>
      <c r="I112" s="47">
        <f>IFERROR(INDEX(Lookups!J:J, MATCH(A112, Lookups!A:A, 0)), "")</f>
        <v/>
      </c>
      <c r="J112" s="47">
        <f>IF(D112="Yes", TRUE, IF(D112="Partial", FALSE, IF(D112="Not Yet", FALSE, "")))</f>
        <v/>
      </c>
      <c r="K112" s="47">
        <f>IF(G112=0, "", IF(I112="3.5.3", COUNTIFS(Sub_Row_Parent_Range, "3.5.3", Pass_Flag_Range, TRUE)=4, J112))</f>
        <v/>
      </c>
      <c r="L112" s="47">
        <f>IF(G112=1, IF(K112=TRUE, 0, H112), 0)</f>
        <v/>
      </c>
      <c r="M112" s="47">
        <f>IFERROR(INDEX(Lookups!H:H, MATCH(A112, Lookups!A:A, 0)), "")</f>
        <v/>
      </c>
      <c r="N112" s="47">
        <f>IFERROR(INDEX(Lookups!B:B, MATCH(A112, Lookups!A:A, 0)), "")</f>
        <v/>
      </c>
      <c r="O112" s="47">
        <f>IF(G112=1, IF(K112=TRUE, "", IF(A112="3.12.4", -1, IF(AND(I112="3.5.3", A112&lt;&gt;"3.5.3a"), "", ROW()))), "")</f>
        <v/>
      </c>
      <c r="R112" s="27">
        <f>IF(G112=1, IF(INDEX(Lookups!A:A, COUNTIF($G$2:$G112,1)+1)=A112, 0, 1), 0)</f>
        <v/>
      </c>
    </row>
    <row r="113" ht="101.5" customHeight="1" s="28">
      <c r="A113" s="48" t="inlineStr">
        <is>
          <t>3.13.8</t>
        </is>
      </c>
      <c r="B113" s="50">
        <f>INDEX(Lookups!D:D, MATCH(A113, Lookups!A:A, 0))</f>
        <v/>
      </c>
      <c r="C113" s="50">
        <f>INDEX(Lookups!F:F, MATCH(A113, Lookups!A:A, 0))</f>
        <v/>
      </c>
      <c r="D113" s="70" t="n"/>
      <c r="E113" s="51">
        <f>IF(G113=1, IF(D113="Yes", "✓", IF(D113="Partial", "◐", IF(D113="Not Yet", "✗", ""))), "")</f>
        <v/>
      </c>
      <c r="F113" s="66" t="n"/>
      <c r="G113" s="47">
        <f>IFERROR(IF(MATCH(A113, Lookups!A:A, 0)&gt;0, 1, 0), 0)</f>
        <v/>
      </c>
      <c r="H113" s="47">
        <f>IFERROR(N(INDEX(Lookups!G:G, MATCH(A113, Lookups!A:A, 0))), 0)</f>
        <v/>
      </c>
      <c r="I113" s="47">
        <f>IFERROR(INDEX(Lookups!J:J, MATCH(A113, Lookups!A:A, 0)), "")</f>
        <v/>
      </c>
      <c r="J113" s="47">
        <f>IF(D113="Yes", TRUE, IF(D113="Partial", FALSE, IF(D113="Not Yet", FALSE, "")))</f>
        <v/>
      </c>
      <c r="K113" s="47">
        <f>IF(G113=0, "", IF(I113="3.5.3", COUNTIFS(Sub_Row_Parent_Range, "3.5.3", Pass_Flag_Range, TRUE)=4, J113))</f>
        <v/>
      </c>
      <c r="L113" s="47">
        <f>IF(G113=1, IF(K113=TRUE, 0, H113), 0)</f>
        <v/>
      </c>
      <c r="M113" s="47">
        <f>IFERROR(INDEX(Lookups!H:H, MATCH(A113, Lookups!A:A, 0)), "")</f>
        <v/>
      </c>
      <c r="N113" s="47">
        <f>IFERROR(INDEX(Lookups!B:B, MATCH(A113, Lookups!A:A, 0)), "")</f>
        <v/>
      </c>
      <c r="O113" s="47">
        <f>IF(G113=1, IF(K113=TRUE, "", IF(A113="3.12.4", -1, IF(AND(I113="3.5.3", A113&lt;&gt;"3.5.3a"), "", ROW()))), "")</f>
        <v/>
      </c>
      <c r="R113" s="27">
        <f>IF(G113=1, IF(INDEX(Lookups!A:A, COUNTIF($G$2:$G113,1)+1)=A113, 0, 1), 0)</f>
        <v/>
      </c>
    </row>
    <row r="114" ht="101.5" customHeight="1" s="28">
      <c r="A114" s="48" t="inlineStr">
        <is>
          <t>3.13.9</t>
        </is>
      </c>
      <c r="B114" s="50">
        <f>INDEX(Lookups!D:D, MATCH(A114, Lookups!A:A, 0))</f>
        <v/>
      </c>
      <c r="C114" s="50">
        <f>INDEX(Lookups!F:F, MATCH(A114, Lookups!A:A, 0))</f>
        <v/>
      </c>
      <c r="D114" s="70" t="n"/>
      <c r="E114" s="51">
        <f>IF(G114=1, IF(D114="Yes", "✓", IF(D114="Partial", "◐", IF(D114="Not Yet", "✗", ""))), "")</f>
        <v/>
      </c>
      <c r="F114" s="66" t="n"/>
      <c r="G114" s="47">
        <f>IFERROR(IF(MATCH(A114, Lookups!A:A, 0)&gt;0, 1, 0), 0)</f>
        <v/>
      </c>
      <c r="H114" s="47">
        <f>IFERROR(N(INDEX(Lookups!G:G, MATCH(A114, Lookups!A:A, 0))), 0)</f>
        <v/>
      </c>
      <c r="I114" s="47">
        <f>IFERROR(INDEX(Lookups!J:J, MATCH(A114, Lookups!A:A, 0)), "")</f>
        <v/>
      </c>
      <c r="J114" s="47">
        <f>IF(D114="Yes", TRUE, IF(D114="Partial", FALSE, IF(D114="Not Yet", FALSE, "")))</f>
        <v/>
      </c>
      <c r="K114" s="47">
        <f>IF(G114=0, "", IF(I114="3.5.3", COUNTIFS(Sub_Row_Parent_Range, "3.5.3", Pass_Flag_Range, TRUE)=4, J114))</f>
        <v/>
      </c>
      <c r="L114" s="47">
        <f>IF(G114=1, IF(K114=TRUE, 0, H114), 0)</f>
        <v/>
      </c>
      <c r="M114" s="47">
        <f>IFERROR(INDEX(Lookups!H:H, MATCH(A114, Lookups!A:A, 0)), "")</f>
        <v/>
      </c>
      <c r="N114" s="47">
        <f>IFERROR(INDEX(Lookups!B:B, MATCH(A114, Lookups!A:A, 0)), "")</f>
        <v/>
      </c>
      <c r="O114" s="47">
        <f>IF(G114=1, IF(K114=TRUE, "", IF(A114="3.12.4", -1, IF(AND(I114="3.5.3", A114&lt;&gt;"3.5.3a"), "", ROW()))), "")</f>
        <v/>
      </c>
      <c r="R114" s="27">
        <f>IF(G114=1, IF(INDEX(Lookups!A:A, COUNTIF($G$2:$G114,1)+1)=A114, 0, 1), 0)</f>
        <v/>
      </c>
    </row>
    <row r="115" ht="101.5" customHeight="1" s="28">
      <c r="A115" s="48" t="inlineStr">
        <is>
          <t>3.13.10</t>
        </is>
      </c>
      <c r="B115" s="50">
        <f>INDEX(Lookups!D:D, MATCH(A115, Lookups!A:A, 0))</f>
        <v/>
      </c>
      <c r="C115" s="50">
        <f>INDEX(Lookups!F:F, MATCH(A115, Lookups!A:A, 0))</f>
        <v/>
      </c>
      <c r="D115" s="70" t="n"/>
      <c r="E115" s="51">
        <f>IF(G115=1, IF(D115="Yes", "✓", IF(D115="Partial", "◐", IF(D115="Not Yet", "✗", ""))), "")</f>
        <v/>
      </c>
      <c r="F115" s="66" t="n"/>
      <c r="G115" s="47">
        <f>IFERROR(IF(MATCH(A115, Lookups!A:A, 0)&gt;0, 1, 0), 0)</f>
        <v/>
      </c>
      <c r="H115" s="47">
        <f>IFERROR(N(INDEX(Lookups!G:G, MATCH(A115, Lookups!A:A, 0))), 0)</f>
        <v/>
      </c>
      <c r="I115" s="47">
        <f>IFERROR(INDEX(Lookups!J:J, MATCH(A115, Lookups!A:A, 0)), "")</f>
        <v/>
      </c>
      <c r="J115" s="47">
        <f>IF(D115="Yes", TRUE, IF(D115="Partial", FALSE, IF(D115="Not Yet", FALSE, "")))</f>
        <v/>
      </c>
      <c r="K115" s="47">
        <f>IF(G115=0, "", IF(I115="3.5.3", COUNTIFS(Sub_Row_Parent_Range, "3.5.3", Pass_Flag_Range, TRUE)=4, J115))</f>
        <v/>
      </c>
      <c r="L115" s="47">
        <f>IF(G115=1, IF(K115=TRUE, 0, H115), 0)</f>
        <v/>
      </c>
      <c r="M115" s="47">
        <f>IFERROR(INDEX(Lookups!H:H, MATCH(A115, Lookups!A:A, 0)), "")</f>
        <v/>
      </c>
      <c r="N115" s="47">
        <f>IFERROR(INDEX(Lookups!B:B, MATCH(A115, Lookups!A:A, 0)), "")</f>
        <v/>
      </c>
      <c r="O115" s="47">
        <f>IF(G115=1, IF(K115=TRUE, "", IF(A115="3.12.4", -1, IF(AND(I115="3.5.3", A115&lt;&gt;"3.5.3a"), "", ROW()))), "")</f>
        <v/>
      </c>
      <c r="R115" s="27">
        <f>IF(G115=1, IF(INDEX(Lookups!A:A, COUNTIF($G$2:$G115,1)+1)=A115, 0, 1), 0)</f>
        <v/>
      </c>
    </row>
    <row r="116" ht="159.5" customHeight="1" s="28">
      <c r="A116" s="48" t="inlineStr">
        <is>
          <t>3.13.11</t>
        </is>
      </c>
      <c r="B116" s="50">
        <f>INDEX(Lookups!D:D, MATCH(A116, Lookups!A:A, 0))</f>
        <v/>
      </c>
      <c r="C116" s="50">
        <f>INDEX(Lookups!F:F, MATCH(A116, Lookups!A:A, 0))</f>
        <v/>
      </c>
      <c r="D116" s="70" t="n"/>
      <c r="E116" s="51">
        <f>IF(G116=1, IF(D116="Yes", "✓", IF(D116="Partial", "◐", IF(D116="Not Yet", "✗", ""))), "")</f>
        <v/>
      </c>
      <c r="F116" s="66" t="n"/>
      <c r="G116" s="47">
        <f>IFERROR(IF(MATCH(A116, Lookups!A:A, 0)&gt;0, 1, 0), 0)</f>
        <v/>
      </c>
      <c r="H116" s="47">
        <f>IFERROR(N(INDEX(Lookups!G:G, MATCH(A116, Lookups!A:A, 0))), 0)</f>
        <v/>
      </c>
      <c r="I116" s="47">
        <f>IFERROR(INDEX(Lookups!J:J, MATCH(A116, Lookups!A:A, 0)), "")</f>
        <v/>
      </c>
      <c r="J116" s="47">
        <f>IF(D116="Yes", TRUE, IF(D116="Partial", FALSE, IF(D116="Not Yet", FALSE, "")))</f>
        <v/>
      </c>
      <c r="K116" s="47">
        <f>IF(G116=0, "", IF(I116="3.5.3", COUNTIFS(Sub_Row_Parent_Range, "3.5.3", Pass_Flag_Range, TRUE)=4, J116))</f>
        <v/>
      </c>
      <c r="L116" s="47">
        <f>IF(G116=1, IF(K116=TRUE, 0, H116), 0)</f>
        <v/>
      </c>
      <c r="M116" s="47">
        <f>IFERROR(INDEX(Lookups!H:H, MATCH(A116, Lookups!A:A, 0)), "")</f>
        <v/>
      </c>
      <c r="N116" s="47">
        <f>IFERROR(INDEX(Lookups!B:B, MATCH(A116, Lookups!A:A, 0)), "")</f>
        <v/>
      </c>
      <c r="O116" s="47">
        <f>IF(G116=1, IF(K116=TRUE, "", IF(A116="3.12.4", -1, IF(AND(I116="3.5.3", A116&lt;&gt;"3.5.3a"), "", ROW()))), "")</f>
        <v/>
      </c>
      <c r="R116" s="27">
        <f>IF(G116=1, IF(INDEX(Lookups!A:A, COUNTIF($G$2:$G116,1)+1)=A116, 0, 1), 0)</f>
        <v/>
      </c>
    </row>
    <row r="117" ht="87" customHeight="1" s="28">
      <c r="A117" s="48" t="inlineStr">
        <is>
          <t>3.13.12</t>
        </is>
      </c>
      <c r="B117" s="50">
        <f>INDEX(Lookups!D:D, MATCH(A117, Lookups!A:A, 0))</f>
        <v/>
      </c>
      <c r="C117" s="50">
        <f>INDEX(Lookups!F:F, MATCH(A117, Lookups!A:A, 0))</f>
        <v/>
      </c>
      <c r="D117" s="70" t="n"/>
      <c r="E117" s="51">
        <f>IF(G117=1, IF(D117="Yes", "✓", IF(D117="Partial", "◐", IF(D117="Not Yet", "✗", ""))), "")</f>
        <v/>
      </c>
      <c r="F117" s="66" t="n"/>
      <c r="G117" s="47">
        <f>IFERROR(IF(MATCH(A117, Lookups!A:A, 0)&gt;0, 1, 0), 0)</f>
        <v/>
      </c>
      <c r="H117" s="47">
        <f>IFERROR(N(INDEX(Lookups!G:G, MATCH(A117, Lookups!A:A, 0))), 0)</f>
        <v/>
      </c>
      <c r="I117" s="47">
        <f>IFERROR(INDEX(Lookups!J:J, MATCH(A117, Lookups!A:A, 0)), "")</f>
        <v/>
      </c>
      <c r="J117" s="47">
        <f>IF(D117="Yes", TRUE, IF(D117="Partial", FALSE, IF(D117="Not Yet", FALSE, "")))</f>
        <v/>
      </c>
      <c r="K117" s="47">
        <f>IF(G117=0, "", IF(I117="3.5.3", COUNTIFS(Sub_Row_Parent_Range, "3.5.3", Pass_Flag_Range, TRUE)=4, J117))</f>
        <v/>
      </c>
      <c r="L117" s="47">
        <f>IF(G117=1, IF(K117=TRUE, 0, H117), 0)</f>
        <v/>
      </c>
      <c r="M117" s="47">
        <f>IFERROR(INDEX(Lookups!H:H, MATCH(A117, Lookups!A:A, 0)), "")</f>
        <v/>
      </c>
      <c r="N117" s="47">
        <f>IFERROR(INDEX(Lookups!B:B, MATCH(A117, Lookups!A:A, 0)), "")</f>
        <v/>
      </c>
      <c r="O117" s="47">
        <f>IF(G117=1, IF(K117=TRUE, "", IF(A117="3.12.4", -1, IF(AND(I117="3.5.3", A117&lt;&gt;"3.5.3a"), "", ROW()))), "")</f>
        <v/>
      </c>
      <c r="R117" s="27">
        <f>IF(G117=1, IF(INDEX(Lookups!A:A, COUNTIF($G$2:$G117,1)+1)=A117, 0, 1), 0)</f>
        <v/>
      </c>
    </row>
    <row r="118" ht="116" customHeight="1" s="28">
      <c r="A118" s="48" t="inlineStr">
        <is>
          <t>3.13.13</t>
        </is>
      </c>
      <c r="B118" s="50">
        <f>INDEX(Lookups!D:D, MATCH(A118, Lookups!A:A, 0))</f>
        <v/>
      </c>
      <c r="C118" s="50">
        <f>INDEX(Lookups!F:F, MATCH(A118, Lookups!A:A, 0))</f>
        <v/>
      </c>
      <c r="D118" s="70" t="n"/>
      <c r="E118" s="51">
        <f>IF(G118=1, IF(D118="Yes", "✓", IF(D118="Partial", "◐", IF(D118="Not Yet", "✗", ""))), "")</f>
        <v/>
      </c>
      <c r="F118" s="66" t="n"/>
      <c r="G118" s="47">
        <f>IFERROR(IF(MATCH(A118, Lookups!A:A, 0)&gt;0, 1, 0), 0)</f>
        <v/>
      </c>
      <c r="H118" s="47">
        <f>IFERROR(N(INDEX(Lookups!G:G, MATCH(A118, Lookups!A:A, 0))), 0)</f>
        <v/>
      </c>
      <c r="I118" s="47">
        <f>IFERROR(INDEX(Lookups!J:J, MATCH(A118, Lookups!A:A, 0)), "")</f>
        <v/>
      </c>
      <c r="J118" s="47">
        <f>IF(D118="Yes", TRUE, IF(D118="Partial", FALSE, IF(D118="Not Yet", FALSE, "")))</f>
        <v/>
      </c>
      <c r="K118" s="47">
        <f>IF(G118=0, "", IF(I118="3.5.3", COUNTIFS(Sub_Row_Parent_Range, "3.5.3", Pass_Flag_Range, TRUE)=4, J118))</f>
        <v/>
      </c>
      <c r="L118" s="47">
        <f>IF(G118=1, IF(K118=TRUE, 0, H118), 0)</f>
        <v/>
      </c>
      <c r="M118" s="47">
        <f>IFERROR(INDEX(Lookups!H:H, MATCH(A118, Lookups!A:A, 0)), "")</f>
        <v/>
      </c>
      <c r="N118" s="47">
        <f>IFERROR(INDEX(Lookups!B:B, MATCH(A118, Lookups!A:A, 0)), "")</f>
        <v/>
      </c>
      <c r="O118" s="47">
        <f>IF(G118=1, IF(K118=TRUE, "", IF(A118="3.12.4", -1, IF(AND(I118="3.5.3", A118&lt;&gt;"3.5.3a"), "", ROW()))), "")</f>
        <v/>
      </c>
      <c r="R118" s="27">
        <f>IF(G118=1, IF(INDEX(Lookups!A:A, COUNTIF($G$2:$G118,1)+1)=A118, 0, 1), 0)</f>
        <v/>
      </c>
    </row>
    <row r="119" ht="101.5" customHeight="1" s="28">
      <c r="A119" s="48" t="inlineStr">
        <is>
          <t>3.13.14</t>
        </is>
      </c>
      <c r="B119" s="50">
        <f>INDEX(Lookups!D:D, MATCH(A119, Lookups!A:A, 0))</f>
        <v/>
      </c>
      <c r="C119" s="50">
        <f>INDEX(Lookups!F:F, MATCH(A119, Lookups!A:A, 0))</f>
        <v/>
      </c>
      <c r="D119" s="70" t="n"/>
      <c r="E119" s="51">
        <f>IF(G119=1, IF(D119="Yes", "✓", IF(D119="Partial", "◐", IF(D119="Not Yet", "✗", ""))), "")</f>
        <v/>
      </c>
      <c r="F119" s="66" t="n"/>
      <c r="G119" s="47">
        <f>IFERROR(IF(MATCH(A119, Lookups!A:A, 0)&gt;0, 1, 0), 0)</f>
        <v/>
      </c>
      <c r="H119" s="47">
        <f>IFERROR(N(INDEX(Lookups!G:G, MATCH(A119, Lookups!A:A, 0))), 0)</f>
        <v/>
      </c>
      <c r="I119" s="47">
        <f>IFERROR(INDEX(Lookups!J:J, MATCH(A119, Lookups!A:A, 0)), "")</f>
        <v/>
      </c>
      <c r="J119" s="47">
        <f>IF(D119="Yes", TRUE, IF(D119="Partial", FALSE, IF(D119="Not Yet", FALSE, "")))</f>
        <v/>
      </c>
      <c r="K119" s="47">
        <f>IF(G119=0, "", IF(I119="3.5.3", COUNTIFS(Sub_Row_Parent_Range, "3.5.3", Pass_Flag_Range, TRUE)=4, J119))</f>
        <v/>
      </c>
      <c r="L119" s="47">
        <f>IF(G119=1, IF(K119=TRUE, 0, H119), 0)</f>
        <v/>
      </c>
      <c r="M119" s="47">
        <f>IFERROR(INDEX(Lookups!H:H, MATCH(A119, Lookups!A:A, 0)), "")</f>
        <v/>
      </c>
      <c r="N119" s="47">
        <f>IFERROR(INDEX(Lookups!B:B, MATCH(A119, Lookups!A:A, 0)), "")</f>
        <v/>
      </c>
      <c r="O119" s="47">
        <f>IF(G119=1, IF(K119=TRUE, "", IF(A119="3.12.4", -1, IF(AND(I119="3.5.3", A119&lt;&gt;"3.5.3a"), "", ROW()))), "")</f>
        <v/>
      </c>
      <c r="R119" s="27">
        <f>IF(G119=1, IF(INDEX(Lookups!A:A, COUNTIF($G$2:$G119,1)+1)=A119, 0, 1), 0)</f>
        <v/>
      </c>
    </row>
    <row r="120" ht="116" customHeight="1" s="28">
      <c r="A120" s="48" t="inlineStr">
        <is>
          <t>3.13.15</t>
        </is>
      </c>
      <c r="B120" s="50">
        <f>INDEX(Lookups!D:D, MATCH(A120, Lookups!A:A, 0))</f>
        <v/>
      </c>
      <c r="C120" s="50">
        <f>INDEX(Lookups!F:F, MATCH(A120, Lookups!A:A, 0))</f>
        <v/>
      </c>
      <c r="D120" s="70" t="n"/>
      <c r="E120" s="51">
        <f>IF(G120=1, IF(D120="Yes", "✓", IF(D120="Partial", "◐", IF(D120="Not Yet", "✗", ""))), "")</f>
        <v/>
      </c>
      <c r="F120" s="66" t="n"/>
      <c r="G120" s="47">
        <f>IFERROR(IF(MATCH(A120, Lookups!A:A, 0)&gt;0, 1, 0), 0)</f>
        <v/>
      </c>
      <c r="H120" s="47">
        <f>IFERROR(N(INDEX(Lookups!G:G, MATCH(A120, Lookups!A:A, 0))), 0)</f>
        <v/>
      </c>
      <c r="I120" s="47">
        <f>IFERROR(INDEX(Lookups!J:J, MATCH(A120, Lookups!A:A, 0)), "")</f>
        <v/>
      </c>
      <c r="J120" s="47">
        <f>IF(D120="Yes", TRUE, IF(D120="Partial", FALSE, IF(D120="Not Yet", FALSE, "")))</f>
        <v/>
      </c>
      <c r="K120" s="47">
        <f>IF(G120=0, "", IF(I120="3.5.3", COUNTIFS(Sub_Row_Parent_Range, "3.5.3", Pass_Flag_Range, TRUE)=4, J120))</f>
        <v/>
      </c>
      <c r="L120" s="47">
        <f>IF(G120=1, IF(K120=TRUE, 0, H120), 0)</f>
        <v/>
      </c>
      <c r="M120" s="47">
        <f>IFERROR(INDEX(Lookups!H:H, MATCH(A120, Lookups!A:A, 0)), "")</f>
        <v/>
      </c>
      <c r="N120" s="47">
        <f>IFERROR(INDEX(Lookups!B:B, MATCH(A120, Lookups!A:A, 0)), "")</f>
        <v/>
      </c>
      <c r="O120" s="47">
        <f>IF(G120=1, IF(K120=TRUE, "", IF(A120="3.12.4", -1, IF(AND(I120="3.5.3", A120&lt;&gt;"3.5.3a"), "", ROW()))), "")</f>
        <v/>
      </c>
      <c r="R120" s="27">
        <f>IF(G120=1, IF(INDEX(Lookups!A:A, COUNTIF($G$2:$G120,1)+1)=A120, 0, 1), 0)</f>
        <v/>
      </c>
    </row>
    <row r="121" ht="101.5" customHeight="1" s="28">
      <c r="A121" s="48" t="inlineStr">
        <is>
          <t>3.13.16</t>
        </is>
      </c>
      <c r="B121" s="50">
        <f>INDEX(Lookups!D:D, MATCH(A121, Lookups!A:A, 0))</f>
        <v/>
      </c>
      <c r="C121" s="50">
        <f>INDEX(Lookups!F:F, MATCH(A121, Lookups!A:A, 0))</f>
        <v/>
      </c>
      <c r="D121" s="70" t="n"/>
      <c r="E121" s="51">
        <f>IF(G121=1, IF(D121="Yes", "✓", IF(D121="Partial", "◐", IF(D121="Not Yet", "✗", ""))), "")</f>
        <v/>
      </c>
      <c r="F121" s="66" t="n"/>
      <c r="G121" s="47">
        <f>IFERROR(IF(MATCH(A121, Lookups!A:A, 0)&gt;0, 1, 0), 0)</f>
        <v/>
      </c>
      <c r="H121" s="47">
        <f>IFERROR(N(INDEX(Lookups!G:G, MATCH(A121, Lookups!A:A, 0))), 0)</f>
        <v/>
      </c>
      <c r="I121" s="47">
        <f>IFERROR(INDEX(Lookups!J:J, MATCH(A121, Lookups!A:A, 0)), "")</f>
        <v/>
      </c>
      <c r="J121" s="47">
        <f>IF(D121="Yes", TRUE, IF(D121="Partial", FALSE, IF(D121="Not Yet", FALSE, "")))</f>
        <v/>
      </c>
      <c r="K121" s="47">
        <f>IF(G121=0, "", IF(I121="3.5.3", COUNTIFS(Sub_Row_Parent_Range, "3.5.3", Pass_Flag_Range, TRUE)=4, J121))</f>
        <v/>
      </c>
      <c r="L121" s="47">
        <f>IF(G121=1, IF(K121=TRUE, 0, H121), 0)</f>
        <v/>
      </c>
      <c r="M121" s="47">
        <f>IFERROR(INDEX(Lookups!H:H, MATCH(A121, Lookups!A:A, 0)), "")</f>
        <v/>
      </c>
      <c r="N121" s="47">
        <f>IFERROR(INDEX(Lookups!B:B, MATCH(A121, Lookups!A:A, 0)), "")</f>
        <v/>
      </c>
      <c r="O121" s="47">
        <f>IF(G121=1, IF(K121=TRUE, "", IF(A121="3.12.4", -1, IF(AND(I121="3.5.3", A121&lt;&gt;"3.5.3a"), "", ROW()))), "")</f>
        <v/>
      </c>
      <c r="R121" s="27">
        <f>IF(G121=1, IF(INDEX(Lookups!A:A, COUNTIF($G$2:$G121,1)+1)=A121, 0, 1), 0)</f>
        <v/>
      </c>
    </row>
    <row r="122" ht="21.75" customHeight="1" s="28">
      <c r="A122" s="44" t="inlineStr">
        <is>
          <t>═══  3.14 — System &amp; Information Integrity  (7 questions)  ═══</t>
        </is>
      </c>
      <c r="B122" s="71" t="n"/>
      <c r="C122" s="44" t="n"/>
      <c r="D122" s="44" t="n"/>
      <c r="E122" s="45">
        <f>IF(G122=1, IF(D122="Yes", "✓", IF(D122="Partial", "◐", IF(D122="Not Yet", "✗", ""))), "")</f>
        <v/>
      </c>
      <c r="F122" s="72" t="n"/>
      <c r="G122" s="47">
        <f>IFERROR(IF(MATCH(A122, Lookups!A:A, 0)&gt;0, 1, 0), 0)</f>
        <v/>
      </c>
      <c r="H122" s="47">
        <f>IFERROR(N(INDEX(Lookups!G:G, MATCH(A122, Lookups!A:A, 0))), 0)</f>
        <v/>
      </c>
      <c r="I122" s="47">
        <f>IFERROR(INDEX(Lookups!J:J, MATCH(A122, Lookups!A:A, 0)), "")</f>
        <v/>
      </c>
      <c r="J122" s="47">
        <f>IF(D122="Yes", TRUE, IF(D122="Partial", FALSE, IF(D122="Not Yet", FALSE, "")))</f>
        <v/>
      </c>
      <c r="K122" s="47">
        <f>IF(G122=0, "", IF(I122="3.5.3", COUNTIFS(Sub_Row_Parent_Range, "3.5.3", Pass_Flag_Range, TRUE)=4, J122))</f>
        <v/>
      </c>
      <c r="L122" s="47">
        <f>IF(G122=1, IF(K122=TRUE, 0, H122), 0)</f>
        <v/>
      </c>
      <c r="M122" s="47">
        <f>IFERROR(INDEX(Lookups!H:H, MATCH(A122, Lookups!A:A, 0)), "")</f>
        <v/>
      </c>
      <c r="N122" s="47">
        <f>IFERROR(INDEX(Lookups!B:B, MATCH(A122, Lookups!A:A, 0)), "")</f>
        <v/>
      </c>
      <c r="O122" s="47">
        <f>IF(G122=1, IF(K122=TRUE, "", IF(A122="3.12.4", -1, IF(AND(I122="3.5.3", A122&lt;&gt;"3.5.3a"), "", ROW()))), "")</f>
        <v/>
      </c>
      <c r="R122" s="27">
        <f>IF(G122=1, IF(INDEX(Lookups!A:A, COUNTIF($G$2:$G122,1)+1)=A122, 0, 1), 0)</f>
        <v/>
      </c>
    </row>
    <row r="123" ht="116" customHeight="1" s="28">
      <c r="A123" s="48" t="inlineStr">
        <is>
          <t>3.14.1</t>
        </is>
      </c>
      <c r="B123" s="50">
        <f>INDEX(Lookups!D:D, MATCH(A123, Lookups!A:A, 0))</f>
        <v/>
      </c>
      <c r="C123" s="50">
        <f>INDEX(Lookups!F:F, MATCH(A123, Lookups!A:A, 0))</f>
        <v/>
      </c>
      <c r="D123" s="70" t="n"/>
      <c r="E123" s="51">
        <f>IF(G123=1, IF(D123="Yes", "✓", IF(D123="Partial", "◐", IF(D123="Not Yet", "✗", ""))), "")</f>
        <v/>
      </c>
      <c r="F123" s="66" t="n"/>
      <c r="G123" s="47">
        <f>IFERROR(IF(MATCH(A123, Lookups!A:A, 0)&gt;0, 1, 0), 0)</f>
        <v/>
      </c>
      <c r="H123" s="47">
        <f>IFERROR(N(INDEX(Lookups!G:G, MATCH(A123, Lookups!A:A, 0))), 0)</f>
        <v/>
      </c>
      <c r="I123" s="47">
        <f>IFERROR(INDEX(Lookups!J:J, MATCH(A123, Lookups!A:A, 0)), "")</f>
        <v/>
      </c>
      <c r="J123" s="47">
        <f>IF(D123="Yes", TRUE, IF(D123="Partial", FALSE, IF(D123="Not Yet", FALSE, "")))</f>
        <v/>
      </c>
      <c r="K123" s="47">
        <f>IF(G123=0, "", IF(I123="3.5.3", COUNTIFS(Sub_Row_Parent_Range, "3.5.3", Pass_Flag_Range, TRUE)=4, J123))</f>
        <v/>
      </c>
      <c r="L123" s="47">
        <f>IF(G123=1, IF(K123=TRUE, 0, H123), 0)</f>
        <v/>
      </c>
      <c r="M123" s="47">
        <f>IFERROR(INDEX(Lookups!H:H, MATCH(A123, Lookups!A:A, 0)), "")</f>
        <v/>
      </c>
      <c r="N123" s="47">
        <f>IFERROR(INDEX(Lookups!B:B, MATCH(A123, Lookups!A:A, 0)), "")</f>
        <v/>
      </c>
      <c r="O123" s="47">
        <f>IF(G123=1, IF(K123=TRUE, "", IF(A123="3.12.4", -1, IF(AND(I123="3.5.3", A123&lt;&gt;"3.5.3a"), "", ROW()))), "")</f>
        <v/>
      </c>
      <c r="R123" s="27">
        <f>IF(G123=1, IF(INDEX(Lookups!A:A, COUNTIF($G$2:$G123,1)+1)=A123, 0, 1), 0)</f>
        <v/>
      </c>
    </row>
    <row r="124" ht="101.5" customHeight="1" s="28">
      <c r="A124" s="48" t="inlineStr">
        <is>
          <t>3.14.2</t>
        </is>
      </c>
      <c r="B124" s="50">
        <f>INDEX(Lookups!D:D, MATCH(A124, Lookups!A:A, 0))</f>
        <v/>
      </c>
      <c r="C124" s="50">
        <f>INDEX(Lookups!F:F, MATCH(A124, Lookups!A:A, 0))</f>
        <v/>
      </c>
      <c r="D124" s="70" t="n"/>
      <c r="E124" s="51">
        <f>IF(G124=1, IF(D124="Yes", "✓", IF(D124="Partial", "◐", IF(D124="Not Yet", "✗", ""))), "")</f>
        <v/>
      </c>
      <c r="F124" s="66" t="n"/>
      <c r="G124" s="47">
        <f>IFERROR(IF(MATCH(A124, Lookups!A:A, 0)&gt;0, 1, 0), 0)</f>
        <v/>
      </c>
      <c r="H124" s="47">
        <f>IFERROR(N(INDEX(Lookups!G:G, MATCH(A124, Lookups!A:A, 0))), 0)</f>
        <v/>
      </c>
      <c r="I124" s="47">
        <f>IFERROR(INDEX(Lookups!J:J, MATCH(A124, Lookups!A:A, 0)), "")</f>
        <v/>
      </c>
      <c r="J124" s="47">
        <f>IF(D124="Yes", TRUE, IF(D124="Partial", FALSE, IF(D124="Not Yet", FALSE, "")))</f>
        <v/>
      </c>
      <c r="K124" s="47">
        <f>IF(G124=0, "", IF(I124="3.5.3", COUNTIFS(Sub_Row_Parent_Range, "3.5.3", Pass_Flag_Range, TRUE)=4, J124))</f>
        <v/>
      </c>
      <c r="L124" s="47">
        <f>IF(G124=1, IF(K124=TRUE, 0, H124), 0)</f>
        <v/>
      </c>
      <c r="M124" s="47">
        <f>IFERROR(INDEX(Lookups!H:H, MATCH(A124, Lookups!A:A, 0)), "")</f>
        <v/>
      </c>
      <c r="N124" s="47">
        <f>IFERROR(INDEX(Lookups!B:B, MATCH(A124, Lookups!A:A, 0)), "")</f>
        <v/>
      </c>
      <c r="O124" s="47">
        <f>IF(G124=1, IF(K124=TRUE, "", IF(A124="3.12.4", -1, IF(AND(I124="3.5.3", A124&lt;&gt;"3.5.3a"), "", ROW()))), "")</f>
        <v/>
      </c>
      <c r="R124" s="27">
        <f>IF(G124=1, IF(INDEX(Lookups!A:A, COUNTIF($G$2:$G124,1)+1)=A124, 0, 1), 0)</f>
        <v/>
      </c>
    </row>
    <row r="125" ht="116" customHeight="1" s="28">
      <c r="A125" s="48" t="inlineStr">
        <is>
          <t>3.14.3</t>
        </is>
      </c>
      <c r="B125" s="50">
        <f>INDEX(Lookups!D:D, MATCH(A125, Lookups!A:A, 0))</f>
        <v/>
      </c>
      <c r="C125" s="50">
        <f>INDEX(Lookups!F:F, MATCH(A125, Lookups!A:A, 0))</f>
        <v/>
      </c>
      <c r="D125" s="70" t="n"/>
      <c r="E125" s="51">
        <f>IF(G125=1, IF(D125="Yes", "✓", IF(D125="Partial", "◐", IF(D125="Not Yet", "✗", ""))), "")</f>
        <v/>
      </c>
      <c r="F125" s="66" t="n"/>
      <c r="G125" s="47">
        <f>IFERROR(IF(MATCH(A125, Lookups!A:A, 0)&gt;0, 1, 0), 0)</f>
        <v/>
      </c>
      <c r="H125" s="47">
        <f>IFERROR(N(INDEX(Lookups!G:G, MATCH(A125, Lookups!A:A, 0))), 0)</f>
        <v/>
      </c>
      <c r="I125" s="47">
        <f>IFERROR(INDEX(Lookups!J:J, MATCH(A125, Lookups!A:A, 0)), "")</f>
        <v/>
      </c>
      <c r="J125" s="47">
        <f>IF(D125="Yes", TRUE, IF(D125="Partial", FALSE, IF(D125="Not Yet", FALSE, "")))</f>
        <v/>
      </c>
      <c r="K125" s="47">
        <f>IF(G125=0, "", IF(I125="3.5.3", COUNTIFS(Sub_Row_Parent_Range, "3.5.3", Pass_Flag_Range, TRUE)=4, J125))</f>
        <v/>
      </c>
      <c r="L125" s="47">
        <f>IF(G125=1, IF(K125=TRUE, 0, H125), 0)</f>
        <v/>
      </c>
      <c r="M125" s="47">
        <f>IFERROR(INDEX(Lookups!H:H, MATCH(A125, Lookups!A:A, 0)), "")</f>
        <v/>
      </c>
      <c r="N125" s="47">
        <f>IFERROR(INDEX(Lookups!B:B, MATCH(A125, Lookups!A:A, 0)), "")</f>
        <v/>
      </c>
      <c r="O125" s="47">
        <f>IF(G125=1, IF(K125=TRUE, "", IF(A125="3.12.4", -1, IF(AND(I125="3.5.3", A125&lt;&gt;"3.5.3a"), "", ROW()))), "")</f>
        <v/>
      </c>
      <c r="R125" s="27">
        <f>IF(G125=1, IF(INDEX(Lookups!A:A, COUNTIF($G$2:$G125,1)+1)=A125, 0, 1), 0)</f>
        <v/>
      </c>
    </row>
    <row r="126" ht="101.5" customHeight="1" s="28">
      <c r="A126" s="48" t="inlineStr">
        <is>
          <t>3.14.4</t>
        </is>
      </c>
      <c r="B126" s="50">
        <f>INDEX(Lookups!D:D, MATCH(A126, Lookups!A:A, 0))</f>
        <v/>
      </c>
      <c r="C126" s="50">
        <f>INDEX(Lookups!F:F, MATCH(A126, Lookups!A:A, 0))</f>
        <v/>
      </c>
      <c r="D126" s="70" t="n"/>
      <c r="E126" s="51">
        <f>IF(G126=1, IF(D126="Yes", "✓", IF(D126="Partial", "◐", IF(D126="Not Yet", "✗", ""))), "")</f>
        <v/>
      </c>
      <c r="F126" s="66" t="n"/>
      <c r="G126" s="47">
        <f>IFERROR(IF(MATCH(A126, Lookups!A:A, 0)&gt;0, 1, 0), 0)</f>
        <v/>
      </c>
      <c r="H126" s="47">
        <f>IFERROR(N(INDEX(Lookups!G:G, MATCH(A126, Lookups!A:A, 0))), 0)</f>
        <v/>
      </c>
      <c r="I126" s="47">
        <f>IFERROR(INDEX(Lookups!J:J, MATCH(A126, Lookups!A:A, 0)), "")</f>
        <v/>
      </c>
      <c r="J126" s="47">
        <f>IF(D126="Yes", TRUE, IF(D126="Partial", FALSE, IF(D126="Not Yet", FALSE, "")))</f>
        <v/>
      </c>
      <c r="K126" s="47">
        <f>IF(G126=0, "", IF(I126="3.5.3", COUNTIFS(Sub_Row_Parent_Range, "3.5.3", Pass_Flag_Range, TRUE)=4, J126))</f>
        <v/>
      </c>
      <c r="L126" s="47">
        <f>IF(G126=1, IF(K126=TRUE, 0, H126), 0)</f>
        <v/>
      </c>
      <c r="M126" s="47">
        <f>IFERROR(INDEX(Lookups!H:H, MATCH(A126, Lookups!A:A, 0)), "")</f>
        <v/>
      </c>
      <c r="N126" s="47">
        <f>IFERROR(INDEX(Lookups!B:B, MATCH(A126, Lookups!A:A, 0)), "")</f>
        <v/>
      </c>
      <c r="O126" s="47">
        <f>IF(G126=1, IF(K126=TRUE, "", IF(A126="3.12.4", -1, IF(AND(I126="3.5.3", A126&lt;&gt;"3.5.3a"), "", ROW()))), "")</f>
        <v/>
      </c>
      <c r="R126" s="27">
        <f>IF(G126=1, IF(INDEX(Lookups!A:A, COUNTIF($G$2:$G126,1)+1)=A126, 0, 1), 0)</f>
        <v/>
      </c>
    </row>
    <row r="127" ht="87" customHeight="1" s="28">
      <c r="A127" s="48" t="inlineStr">
        <is>
          <t>3.14.5</t>
        </is>
      </c>
      <c r="B127" s="50">
        <f>INDEX(Lookups!D:D, MATCH(A127, Lookups!A:A, 0))</f>
        <v/>
      </c>
      <c r="C127" s="50">
        <f>INDEX(Lookups!F:F, MATCH(A127, Lookups!A:A, 0))</f>
        <v/>
      </c>
      <c r="D127" s="70" t="n"/>
      <c r="E127" s="51">
        <f>IF(G127=1, IF(D127="Yes", "✓", IF(D127="Partial", "◐", IF(D127="Not Yet", "✗", ""))), "")</f>
        <v/>
      </c>
      <c r="F127" s="66" t="n"/>
      <c r="G127" s="47">
        <f>IFERROR(IF(MATCH(A127, Lookups!A:A, 0)&gt;0, 1, 0), 0)</f>
        <v/>
      </c>
      <c r="H127" s="47">
        <f>IFERROR(N(INDEX(Lookups!G:G, MATCH(A127, Lookups!A:A, 0))), 0)</f>
        <v/>
      </c>
      <c r="I127" s="47">
        <f>IFERROR(INDEX(Lookups!J:J, MATCH(A127, Lookups!A:A, 0)), "")</f>
        <v/>
      </c>
      <c r="J127" s="47">
        <f>IF(D127="Yes", TRUE, IF(D127="Partial", FALSE, IF(D127="Not Yet", FALSE, "")))</f>
        <v/>
      </c>
      <c r="K127" s="47">
        <f>IF(G127=0, "", IF(I127="3.5.3", COUNTIFS(Sub_Row_Parent_Range, "3.5.3", Pass_Flag_Range, TRUE)=4, J127))</f>
        <v/>
      </c>
      <c r="L127" s="47">
        <f>IF(G127=1, IF(K127=TRUE, 0, H127), 0)</f>
        <v/>
      </c>
      <c r="M127" s="47">
        <f>IFERROR(INDEX(Lookups!H:H, MATCH(A127, Lookups!A:A, 0)), "")</f>
        <v/>
      </c>
      <c r="N127" s="47">
        <f>IFERROR(INDEX(Lookups!B:B, MATCH(A127, Lookups!A:A, 0)), "")</f>
        <v/>
      </c>
      <c r="O127" s="47">
        <f>IF(G127=1, IF(K127=TRUE, "", IF(A127="3.12.4", -1, IF(AND(I127="3.5.3", A127&lt;&gt;"3.5.3a"), "", ROW()))), "")</f>
        <v/>
      </c>
      <c r="R127" s="27">
        <f>IF(G127=1, IF(INDEX(Lookups!A:A, COUNTIF($G$2:$G127,1)+1)=A127, 0, 1), 0)</f>
        <v/>
      </c>
    </row>
    <row r="128" ht="116" customHeight="1" s="28">
      <c r="A128" s="48" t="inlineStr">
        <is>
          <t>3.14.6</t>
        </is>
      </c>
      <c r="B128" s="50">
        <f>INDEX(Lookups!D:D, MATCH(A128, Lookups!A:A, 0))</f>
        <v/>
      </c>
      <c r="C128" s="50">
        <f>INDEX(Lookups!F:F, MATCH(A128, Lookups!A:A, 0))</f>
        <v/>
      </c>
      <c r="D128" s="70" t="n"/>
      <c r="E128" s="51">
        <f>IF(G128=1, IF(D128="Yes", "✓", IF(D128="Partial", "◐", IF(D128="Not Yet", "✗", ""))), "")</f>
        <v/>
      </c>
      <c r="F128" s="66" t="n"/>
      <c r="G128" s="47">
        <f>IFERROR(IF(MATCH(A128, Lookups!A:A, 0)&gt;0, 1, 0), 0)</f>
        <v/>
      </c>
      <c r="H128" s="47">
        <f>IFERROR(N(INDEX(Lookups!G:G, MATCH(A128, Lookups!A:A, 0))), 0)</f>
        <v/>
      </c>
      <c r="I128" s="47">
        <f>IFERROR(INDEX(Lookups!J:J, MATCH(A128, Lookups!A:A, 0)), "")</f>
        <v/>
      </c>
      <c r="J128" s="47">
        <f>IF(D128="Yes", TRUE, IF(D128="Partial", FALSE, IF(D128="Not Yet", FALSE, "")))</f>
        <v/>
      </c>
      <c r="K128" s="47">
        <f>IF(G128=0, "", IF(I128="3.5.3", COUNTIFS(Sub_Row_Parent_Range, "3.5.3", Pass_Flag_Range, TRUE)=4, J128))</f>
        <v/>
      </c>
      <c r="L128" s="47">
        <f>IF(G128=1, IF(K128=TRUE, 0, H128), 0)</f>
        <v/>
      </c>
      <c r="M128" s="47">
        <f>IFERROR(INDEX(Lookups!H:H, MATCH(A128, Lookups!A:A, 0)), "")</f>
        <v/>
      </c>
      <c r="N128" s="47">
        <f>IFERROR(INDEX(Lookups!B:B, MATCH(A128, Lookups!A:A, 0)), "")</f>
        <v/>
      </c>
      <c r="O128" s="47">
        <f>IF(G128=1, IF(K128=TRUE, "", IF(A128="3.12.4", -1, IF(AND(I128="3.5.3", A128&lt;&gt;"3.5.3a"), "", ROW()))), "")</f>
        <v/>
      </c>
      <c r="R128" s="27">
        <f>IF(G128=1, IF(INDEX(Lookups!A:A, COUNTIF($G$2:$G128,1)+1)=A128, 0, 1), 0)</f>
        <v/>
      </c>
    </row>
    <row r="129" ht="116" customHeight="1" s="28">
      <c r="A129" s="48" t="inlineStr">
        <is>
          <t>3.14.7</t>
        </is>
      </c>
      <c r="B129" s="50">
        <f>INDEX(Lookups!D:D, MATCH(A129, Lookups!A:A, 0))</f>
        <v/>
      </c>
      <c r="C129" s="50">
        <f>INDEX(Lookups!F:F, MATCH(A129, Lookups!A:A, 0))</f>
        <v/>
      </c>
      <c r="D129" s="70" t="n"/>
      <c r="E129" s="51">
        <f>IF(G129=1, IF(D129="Yes", "✓", IF(D129="Partial", "◐", IF(D129="Not Yet", "✗", ""))), "")</f>
        <v/>
      </c>
      <c r="F129" s="66" t="n"/>
      <c r="G129" s="47">
        <f>IFERROR(IF(MATCH(A129, Lookups!A:A, 0)&gt;0, 1, 0), 0)</f>
        <v/>
      </c>
      <c r="H129" s="47">
        <f>IFERROR(N(INDEX(Lookups!G:G, MATCH(A129, Lookups!A:A, 0))), 0)</f>
        <v/>
      </c>
      <c r="I129" s="47">
        <f>IFERROR(INDEX(Lookups!J:J, MATCH(A129, Lookups!A:A, 0)), "")</f>
        <v/>
      </c>
      <c r="J129" s="47">
        <f>IF(D129="Yes", TRUE, IF(D129="Partial", FALSE, IF(D129="Not Yet", FALSE, "")))</f>
        <v/>
      </c>
      <c r="K129" s="47">
        <f>IF(G129=0, "", IF(I129="3.5.3", COUNTIFS(Sub_Row_Parent_Range, "3.5.3", Pass_Flag_Range, TRUE)=4, J129))</f>
        <v/>
      </c>
      <c r="L129" s="47">
        <f>IF(G129=1, IF(K129=TRUE, 0, H129), 0)</f>
        <v/>
      </c>
      <c r="M129" s="47">
        <f>IFERROR(INDEX(Lookups!H:H, MATCH(A129, Lookups!A:A, 0)), "")</f>
        <v/>
      </c>
      <c r="N129" s="47">
        <f>IFERROR(INDEX(Lookups!B:B, MATCH(A129, Lookups!A:A, 0)), "")</f>
        <v/>
      </c>
      <c r="O129" s="47">
        <f>IF(G129=1, IF(K129=TRUE, "", IF(A129="3.12.4", -1, IF(AND(I129="3.5.3", A129&lt;&gt;"3.5.3a"), "", ROW()))), "")</f>
        <v/>
      </c>
      <c r="R129" s="27">
        <f>IF(G129=1, IF(INDEX(Lookups!A:A, COUNTIF($G$2:$G129,1)+1)=A129, 0, 1), 0)</f>
        <v/>
      </c>
    </row>
  </sheetData>
  <sheetProtection selectLockedCells="0" selectUnlockedCells="0" sheet="1" objects="1" insertRows="1" insertHyperlinks="1" autoFilter="0" scenarios="1" formatColumns="0" deleteColumns="1" insertColumns="1" pivotTables="1" deleteRows="1" formatCells="0" formatRows="0" sort="1" password="EAC5"/>
  <autoFilter ref="A1:E129"/>
  <dataValidations count="1">
    <dataValidation sqref="D3:D24 D26:D28 D30:D38 D40:D48 D50:D51 D53:D64 D66:D68 D70:D75 D77:D85 D87:D88 D90:D95 D97:D99 D101:D104 D106:D121 D123:D129" showDropDown="0" showInputMessage="0" showErrorMessage="1" allowBlank="1" errorTitle="Invalid response" error="Please choose Yes, Partial, or Not Yet from the dropdown." type="list" errorStyle="stop" operator="between">
      <formula1>"Yes,Partial,Not Yet"</formula1>
      <formula2>0</formula2>
    </dataValidation>
  </dataValidations>
  <printOptions horizontalCentered="1" verticalCentered="0" headings="0" gridLines="0" gridLinesSet="1"/>
  <pageMargins left="0.5" right="0.5" top="0.5" bottom="0.5" header="0.3" footer="0.3"/>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B2:E23"/>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27" min="1" max="1"/>
    <col width="16" customWidth="1" style="27" min="2" max="5"/>
  </cols>
  <sheetData>
    <row r="2" ht="30" customHeight="1" s="28">
      <c r="B2" s="117" t="inlineStr">
        <is>
          <t>SPRS Score</t>
        </is>
      </c>
    </row>
    <row r="4" ht="15" customHeight="1" s="28">
      <c r="B4" s="77">
        <f>IF(Score_Calculable="Yes", SPRS_Max - SUM(Deduction_Range), "SSP Required")</f>
        <v/>
      </c>
    </row>
    <row r="5" ht="15" customHeight="1" s="28"/>
    <row r="6" ht="15" customHeight="1" s="28"/>
    <row r="7" ht="15" customHeight="1" s="28"/>
    <row r="8" ht="15" customHeight="1" s="28"/>
    <row r="10" ht="40" customHeight="1" s="28">
      <c r="B10" s="57">
        <f>IF(Score_Calculable="Yes", IF(Active_Score&gt;=Risk_Threshold, "Above DoD threshold of 88 — assessment-ready posture.", IF(Active_Score&gt;=0, "Below DoD threshold of 88 — elevated risk. Review Gap Report for highest-impact remediations.", "Negative score — significant gaps. Assessment would not pass.")), "Per DoD methodology, an SPRS score cannot be assigned without a System Security Plan. Answer 3.12.4 = Yes once an SSP exists.")</f>
        <v/>
      </c>
    </row>
    <row r="12" ht="15" customHeight="1" s="28">
      <c r="B12" s="58" t="inlineStr">
        <is>
          <t>Threshold reference</t>
        </is>
      </c>
    </row>
    <row r="13" ht="105" customHeight="1" s="28">
      <c r="B13" s="66" t="inlineStr">
        <is>
          <t>How to read this score:  A perfect SPRS score is 110.  The worst possible score is −203 if every weighted control is Not Yet.  DoD currently treats scores below 88 as higher-risk; the gauge colors show that range: green for 88–110, yellow for 0–87, and red for scores below 0.  If you don't have a System Security Plan (SSP) yet, the score will show "SSP Required" instead of a number.</t>
        </is>
      </c>
    </row>
    <row r="15" ht="15" customHeight="1" s="28">
      <c r="B15" s="58" t="inlineStr">
        <is>
          <t>Summary by state</t>
        </is>
      </c>
    </row>
    <row r="16" ht="15" customHeight="1" s="28">
      <c r="B16" s="59" t="inlineStr">
        <is>
          <t>Yes:</t>
        </is>
      </c>
      <c r="C16" s="59">
        <f>COUNTIF(Response_Range, "Yes")</f>
        <v/>
      </c>
    </row>
    <row r="17" ht="15" customHeight="1" s="28">
      <c r="B17" s="59" t="inlineStr">
        <is>
          <t>Partial:</t>
        </is>
      </c>
      <c r="C17" s="59">
        <f>COUNTIF(Response_Range, "Partial")</f>
        <v/>
      </c>
    </row>
    <row r="18" ht="15" customHeight="1" s="28">
      <c r="B18" s="59" t="inlineStr">
        <is>
          <t>Not Yet:</t>
        </is>
      </c>
      <c r="C18" s="59">
        <f>COUNTIF(Response_Range, "Not Yet")</f>
        <v/>
      </c>
    </row>
    <row r="19">
      <c r="B19" s="59" t="inlineStr">
        <is>
          <t>Unanswered:</t>
        </is>
      </c>
      <c r="C19" s="59">
        <f>113-C16-C17-C18</f>
        <v/>
      </c>
    </row>
    <row r="20" ht="15" customHeight="1" s="28">
      <c r="B20" s="60">
        <f>HYPERLINK("#'Gap Report'!A1", "View Gap Report →")</f>
        <v/>
      </c>
      <c r="D20" s="60">
        <f>HYPERLINK("#Welcome!C15", "← Back to control families")</f>
        <v/>
      </c>
    </row>
    <row r="22" ht="18" customHeight="1" s="28">
      <c r="B22" s="115">
        <f>IF(Constants!B8="OK", "", "⚠  "&amp;Constants!B8)</f>
        <v/>
      </c>
    </row>
    <row r="23"/>
  </sheetData>
  <sheetProtection selectLockedCells="0" selectUnlockedCells="0" sheet="1" objects="1" insertRows="1" insertHyperlinks="1" autoFilter="0" scenarios="1" formatColumns="0" deleteColumns="1" insertColumns="1" pivotTables="1" deleteRows="1" formatCells="0" formatRows="0" sort="1" password="EAC5"/>
  <mergeCells count="5">
    <mergeCell ref="B13:E13"/>
    <mergeCell ref="B22:E23"/>
    <mergeCell ref="B4:E8"/>
    <mergeCell ref="B2:E2"/>
    <mergeCell ref="B10:E10"/>
  </mergeCells>
  <conditionalFormatting sqref="B4:E8">
    <cfRule type="expression" priority="1" dxfId="8" stopIfTrue="1">
      <formula>ISTEXT($B$4)</formula>
    </cfRule>
    <cfRule type="expression" priority="2" dxfId="9" stopIfTrue="1">
      <formula>AND(ISNUMBER($B$4), $B$4&lt;0)</formula>
    </cfRule>
    <cfRule type="expression" priority="3" dxfId="10" stopIfTrue="1">
      <formula>AND(ISNUMBER($B$4), $B$4&lt;88)</formula>
    </cfRule>
    <cfRule type="expression" priority="4" dxfId="11" stopIfTrue="1">
      <formula>AND(ISNUMBER($B$4), $B$4&gt;=88)</formula>
    </cfRule>
  </conditionalFormatting>
  <conditionalFormatting sqref="B10:E10">
    <cfRule type="expression" priority="5" dxfId="12" stopIfTrue="1">
      <formula>ISTEXT($B$4)</formula>
    </cfRule>
    <cfRule type="expression" priority="6" dxfId="13" stopIfTrue="1">
      <formula>AND(ISNUMBER($B$4), $B$4&lt;0)</formula>
    </cfRule>
    <cfRule type="expression" priority="7" dxfId="14" stopIfTrue="1">
      <formula>AND(ISNUMBER($B$4), $B$4&lt;88)</formula>
    </cfRule>
    <cfRule type="expression" priority="8" dxfId="15" stopIfTrue="1">
      <formula>AND(ISNUMBER($B$4), $B$4&gt;=88)</formula>
    </cfRule>
  </conditionalFormatting>
  <printOptions horizontalCentered="1" verticalCentered="0" headings="0" gridLines="0" gridLinesSet="1"/>
  <pageMargins left="0.7" right="0.7" top="0.75" bottom="0.75" header="0.3" footer="0.3"/>
  <pageSetup orientation="portrait"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G115"/>
  <sheetViews>
    <sheetView showFormulas="0" showGridLines="1"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5" customWidth="1" style="27" min="1" max="1"/>
    <col width="11" customWidth="1" style="27" min="2" max="2"/>
    <col width="32" customWidth="1" style="27" min="3" max="3"/>
    <col width="14" customWidth="1" style="27" min="4" max="4"/>
    <col width="14" customWidth="1" style="27" min="5" max="5"/>
    <col width="60" customWidth="1" style="27" min="6" max="6"/>
    <col hidden="1" width="6" customWidth="1" style="28" min="7" max="7"/>
  </cols>
  <sheetData>
    <row r="1" ht="30" customHeight="1" s="28">
      <c r="A1" s="117" t="inlineStr">
        <is>
          <t>Gap Report — Failing Controls</t>
        </is>
      </c>
    </row>
    <row r="2" ht="15" customHeight="1" s="28">
      <c r="A2" s="30" t="inlineStr">
        <is>
          <t>Sorted by NIST canonical order; gate control 3.12.4 hoisted to top when failing.</t>
        </is>
      </c>
    </row>
    <row r="4" ht="15" customHeight="1" s="28">
      <c r="A4" s="61" t="inlineStr">
        <is>
          <t>Control ID</t>
        </is>
      </c>
      <c r="B4" s="61" t="inlineStr">
        <is>
          <t>Family</t>
        </is>
      </c>
      <c r="C4" s="61" t="inlineStr">
        <is>
          <t>Title</t>
        </is>
      </c>
      <c r="D4" s="61" t="inlineStr">
        <is>
          <t>State</t>
        </is>
      </c>
      <c r="E4" s="61" t="inlineStr">
        <is>
          <t>Deduction</t>
        </is>
      </c>
      <c r="F4" s="61" t="inlineStr">
        <is>
          <t>Remediation Hint</t>
        </is>
      </c>
      <c r="G4" s="64" t="inlineStr">
        <is>
          <t>qrow_helper</t>
        </is>
      </c>
    </row>
    <row r="5">
      <c r="A5" s="47">
        <f>IF(G5="", "", IF(INDEX(Questions!I:I, G5)="3.5.3", "3.5.3", INDEX(Questions!A:A, G5)))</f>
        <v/>
      </c>
      <c r="B5" s="65">
        <f>IF(G5="", "", INDEX(Questions!N:N, G5))</f>
        <v/>
      </c>
      <c r="C5" s="66">
        <f>IF(G5="", "", IF(INDEX(Questions!A:A, G5)="3.5.3a", "Multi-Factor Authentication — sub-parts failing: " &amp; INDEX(Questions!P:P, G5), INDEX(Questions!B:B, G5)))</f>
        <v/>
      </c>
      <c r="D5" s="66">
        <f>IF(G5="", "", IF(INDEX(Questions!A:A, G5)="3.12.4", "Gate control — score not calculable until SSP exists", IF(INDEX(Questions!A:A, G5)="3.5.3a", "One or more sub-parts not in place", IF(INDEX(Questions!D:D, G5)="Partial", "Partially implemented / incomplete evidence", IF(INDEX(Questions!D:D, G5)="Not Yet", "Not implemented yet", IF(INDEX(Questions!D:D, G5)="", "Not yet answered (treated as Not Yet)", "Pending"))))))</f>
        <v/>
      </c>
      <c r="E5" s="65">
        <f>IF(G5="", "", IF(INDEX(Questions!I:I, G5)="3.5.3", 5, INDEX(Questions!L:L, G5)))</f>
        <v/>
      </c>
      <c r="F5" s="66">
        <f>IF(G5="", "", INDEX(Questions!M:M, G5))</f>
        <v/>
      </c>
      <c r="G5" s="27">
        <f>IFERROR(IF(SMALL(Gap_Slot_Range, ROW()-4)=-1, MATCH("3.12.4", Questions!A:A, 0), SMALL(Gap_Slot_Range, ROW()-4)), "")</f>
        <v/>
      </c>
    </row>
    <row r="6" ht="15" customHeight="1" s="28">
      <c r="A6" s="47">
        <f>IF(G6="", "", IF(INDEX(Questions!I:I, G6)="3.5.3", "3.5.3", INDEX(Questions!A:A, G6)))</f>
        <v/>
      </c>
      <c r="B6" s="65">
        <f>IF(G6="", "", INDEX(Questions!N:N, G6))</f>
        <v/>
      </c>
      <c r="C6" s="66">
        <f>IF(G6="", "", IF(INDEX(Questions!A:A, G6)="3.5.3a", "Multi-Factor Authentication — sub-parts failing: " &amp; INDEX(Questions!P:P, G6), INDEX(Questions!B:B, G6)))</f>
        <v/>
      </c>
      <c r="D6" s="66">
        <f>IF(G6="", "", IF(INDEX(Questions!A:A, G6)="3.12.4", "Gate control — score not calculable until SSP exists", IF(INDEX(Questions!A:A, G6)="3.5.3a", "One or more sub-parts not in place", IF(INDEX(Questions!D:D, G6)="Partial", "Partially implemented / incomplete evidence", IF(INDEX(Questions!D:D, G6)="Not Yet", "Not implemented yet", IF(INDEX(Questions!D:D, G6)="", "Not yet answered (treated as Not Yet)", "Pending"))))))</f>
        <v/>
      </c>
      <c r="E6" s="65">
        <f>IF(G6="", "", IF(INDEX(Questions!I:I, G6)="3.5.3", 5, INDEX(Questions!L:L, G6)))</f>
        <v/>
      </c>
      <c r="F6" s="66">
        <f>IF(G6="", "", INDEX(Questions!M:M, G6))</f>
        <v/>
      </c>
      <c r="G6" s="27">
        <f>IFERROR(IF(SMALL(Gap_Slot_Range, ROW()-4)=-1, MATCH("3.12.4", Questions!A:A, 0), SMALL(Gap_Slot_Range, ROW()-4)), "")</f>
        <v/>
      </c>
    </row>
    <row r="7">
      <c r="A7" s="47">
        <f>IF(G7="", "", IF(INDEX(Questions!I:I, G7)="3.5.3", "3.5.3", INDEX(Questions!A:A, G7)))</f>
        <v/>
      </c>
      <c r="B7" s="65">
        <f>IF(G7="", "", INDEX(Questions!N:N, G7))</f>
        <v/>
      </c>
      <c r="C7" s="66">
        <f>IF(G7="", "", IF(INDEX(Questions!A:A, G7)="3.5.3a", "Multi-Factor Authentication — sub-parts failing: " &amp; INDEX(Questions!P:P, G7), INDEX(Questions!B:B, G7)))</f>
        <v/>
      </c>
      <c r="D7" s="66">
        <f>IF(G7="", "", IF(INDEX(Questions!A:A, G7)="3.12.4", "Gate control — score not calculable until SSP exists", IF(INDEX(Questions!A:A, G7)="3.5.3a", "One or more sub-parts not in place", IF(INDEX(Questions!D:D, G7)="Partial", "Partially implemented / incomplete evidence", IF(INDEX(Questions!D:D, G7)="Not Yet", "Not implemented yet", IF(INDEX(Questions!D:D, G7)="", "Not yet answered (treated as Not Yet)", "Pending"))))))</f>
        <v/>
      </c>
      <c r="E7" s="65">
        <f>IF(G7="", "", IF(INDEX(Questions!I:I, G7)="3.5.3", 5, INDEX(Questions!L:L, G7)))</f>
        <v/>
      </c>
      <c r="F7" s="66">
        <f>IF(G7="", "", INDEX(Questions!M:M, G7))</f>
        <v/>
      </c>
      <c r="G7" s="27">
        <f>IFERROR(IF(SMALL(Gap_Slot_Range, ROW()-4)=-1, MATCH("3.12.4", Questions!A:A, 0), SMALL(Gap_Slot_Range, ROW()-4)), "")</f>
        <v/>
      </c>
    </row>
    <row r="8">
      <c r="A8" s="47">
        <f>IF(G8="", "", IF(INDEX(Questions!I:I, G8)="3.5.3", "3.5.3", INDEX(Questions!A:A, G8)))</f>
        <v/>
      </c>
      <c r="B8" s="65">
        <f>IF(G8="", "", INDEX(Questions!N:N, G8))</f>
        <v/>
      </c>
      <c r="C8" s="66">
        <f>IF(G8="", "", IF(INDEX(Questions!A:A, G8)="3.5.3a", "Multi-Factor Authentication — sub-parts failing: " &amp; INDEX(Questions!P:P, G8), INDEX(Questions!B:B, G8)))</f>
        <v/>
      </c>
      <c r="D8" s="66">
        <f>IF(G8="", "", IF(INDEX(Questions!A:A, G8)="3.12.4", "Gate control — score not calculable until SSP exists", IF(INDEX(Questions!A:A, G8)="3.5.3a", "One or more sub-parts not in place", IF(INDEX(Questions!D:D, G8)="Partial", "Partially implemented / incomplete evidence", IF(INDEX(Questions!D:D, G8)="Not Yet", "Not implemented yet", IF(INDEX(Questions!D:D, G8)="", "Not yet answered (treated as Not Yet)", "Pending"))))))</f>
        <v/>
      </c>
      <c r="E8" s="65">
        <f>IF(G8="", "", IF(INDEX(Questions!I:I, G8)="3.5.3", 5, INDEX(Questions!L:L, G8)))</f>
        <v/>
      </c>
      <c r="F8" s="66">
        <f>IF(G8="", "", INDEX(Questions!M:M, G8))</f>
        <v/>
      </c>
      <c r="G8" s="27">
        <f>IFERROR(IF(SMALL(Gap_Slot_Range, ROW()-4)=-1, MATCH("3.12.4", Questions!A:A, 0), SMALL(Gap_Slot_Range, ROW()-4)), "")</f>
        <v/>
      </c>
    </row>
    <row r="9">
      <c r="A9" s="47">
        <f>IF(G9="", "", IF(INDEX(Questions!I:I, G9)="3.5.3", "3.5.3", INDEX(Questions!A:A, G9)))</f>
        <v/>
      </c>
      <c r="B9" s="65">
        <f>IF(G9="", "", INDEX(Questions!N:N, G9))</f>
        <v/>
      </c>
      <c r="C9" s="66">
        <f>IF(G9="", "", IF(INDEX(Questions!A:A, G9)="3.5.3a", "Multi-Factor Authentication — sub-parts failing: " &amp; INDEX(Questions!P:P, G9), INDEX(Questions!B:B, G9)))</f>
        <v/>
      </c>
      <c r="D9" s="66">
        <f>IF(G9="", "", IF(INDEX(Questions!A:A, G9)="3.12.4", "Gate control — score not calculable until SSP exists", IF(INDEX(Questions!A:A, G9)="3.5.3a", "One or more sub-parts not in place", IF(INDEX(Questions!D:D, G9)="Partial", "Partially implemented / incomplete evidence", IF(INDEX(Questions!D:D, G9)="Not Yet", "Not implemented yet", IF(INDEX(Questions!D:D, G9)="", "Not yet answered (treated as Not Yet)", "Pending"))))))</f>
        <v/>
      </c>
      <c r="E9" s="65">
        <f>IF(G9="", "", IF(INDEX(Questions!I:I, G9)="3.5.3", 5, INDEX(Questions!L:L, G9)))</f>
        <v/>
      </c>
      <c r="F9" s="66">
        <f>IF(G9="", "", INDEX(Questions!M:M, G9))</f>
        <v/>
      </c>
      <c r="G9" s="27">
        <f>IFERROR(IF(SMALL(Gap_Slot_Range, ROW()-4)=-1, MATCH("3.12.4", Questions!A:A, 0), SMALL(Gap_Slot_Range, ROW()-4)), "")</f>
        <v/>
      </c>
    </row>
    <row r="10">
      <c r="A10" s="47">
        <f>IF(G10="", "", IF(INDEX(Questions!I:I, G10)="3.5.3", "3.5.3", INDEX(Questions!A:A, G10)))</f>
        <v/>
      </c>
      <c r="B10" s="65">
        <f>IF(G10="", "", INDEX(Questions!N:N, G10))</f>
        <v/>
      </c>
      <c r="C10" s="66">
        <f>IF(G10="", "", IF(INDEX(Questions!A:A, G10)="3.5.3a", "Multi-Factor Authentication — sub-parts failing: " &amp; INDEX(Questions!P:P, G10), INDEX(Questions!B:B, G10)))</f>
        <v/>
      </c>
      <c r="D10" s="66">
        <f>IF(G10="", "", IF(INDEX(Questions!A:A, G10)="3.12.4", "Gate control — score not calculable until SSP exists", IF(INDEX(Questions!A:A, G10)="3.5.3a", "One or more sub-parts not in place", IF(INDEX(Questions!D:D, G10)="Partial", "Partially implemented / incomplete evidence", IF(INDEX(Questions!D:D, G10)="Not Yet", "Not implemented yet", IF(INDEX(Questions!D:D, G10)="", "Not yet answered (treated as Not Yet)", "Pending"))))))</f>
        <v/>
      </c>
      <c r="E10" s="65">
        <f>IF(G10="", "", IF(INDEX(Questions!I:I, G10)="3.5.3", 5, INDEX(Questions!L:L, G10)))</f>
        <v/>
      </c>
      <c r="F10" s="66">
        <f>IF(G10="", "", INDEX(Questions!M:M, G10))</f>
        <v/>
      </c>
      <c r="G10" s="27">
        <f>IFERROR(IF(SMALL(Gap_Slot_Range, ROW()-4)=-1, MATCH("3.12.4", Questions!A:A, 0), SMALL(Gap_Slot_Range, ROW()-4)), "")</f>
        <v/>
      </c>
    </row>
    <row r="11">
      <c r="A11" s="47">
        <f>IF(G11="", "", IF(INDEX(Questions!I:I, G11)="3.5.3", "3.5.3", INDEX(Questions!A:A, G11)))</f>
        <v/>
      </c>
      <c r="B11" s="65">
        <f>IF(G11="", "", INDEX(Questions!N:N, G11))</f>
        <v/>
      </c>
      <c r="C11" s="66">
        <f>IF(G11="", "", IF(INDEX(Questions!A:A, G11)="3.5.3a", "Multi-Factor Authentication — sub-parts failing: " &amp; INDEX(Questions!P:P, G11), INDEX(Questions!B:B, G11)))</f>
        <v/>
      </c>
      <c r="D11" s="66">
        <f>IF(G11="", "", IF(INDEX(Questions!A:A, G11)="3.12.4", "Gate control — score not calculable until SSP exists", IF(INDEX(Questions!A:A, G11)="3.5.3a", "One or more sub-parts not in place", IF(INDEX(Questions!D:D, G11)="Partial", "Partially implemented / incomplete evidence", IF(INDEX(Questions!D:D, G11)="Not Yet", "Not implemented yet", IF(INDEX(Questions!D:D, G11)="", "Not yet answered (treated as Not Yet)", "Pending"))))))</f>
        <v/>
      </c>
      <c r="E11" s="65">
        <f>IF(G11="", "", IF(INDEX(Questions!I:I, G11)="3.5.3", 5, INDEX(Questions!L:L, G11)))</f>
        <v/>
      </c>
      <c r="F11" s="66">
        <f>IF(G11="", "", INDEX(Questions!M:M, G11))</f>
        <v/>
      </c>
      <c r="G11" s="27">
        <f>IFERROR(IF(SMALL(Gap_Slot_Range, ROW()-4)=-1, MATCH("3.12.4", Questions!A:A, 0), SMALL(Gap_Slot_Range, ROW()-4)), "")</f>
        <v/>
      </c>
    </row>
    <row r="12">
      <c r="A12" s="47">
        <f>IF(G12="", "", IF(INDEX(Questions!I:I, G12)="3.5.3", "3.5.3", INDEX(Questions!A:A, G12)))</f>
        <v/>
      </c>
      <c r="B12" s="65">
        <f>IF(G12="", "", INDEX(Questions!N:N, G12))</f>
        <v/>
      </c>
      <c r="C12" s="66">
        <f>IF(G12="", "", IF(INDEX(Questions!A:A, G12)="3.5.3a", "Multi-Factor Authentication — sub-parts failing: " &amp; INDEX(Questions!P:P, G12), INDEX(Questions!B:B, G12)))</f>
        <v/>
      </c>
      <c r="D12" s="66">
        <f>IF(G12="", "", IF(INDEX(Questions!A:A, G12)="3.12.4", "Gate control — score not calculable until SSP exists", IF(INDEX(Questions!A:A, G12)="3.5.3a", "One or more sub-parts not in place", IF(INDEX(Questions!D:D, G12)="Partial", "Partially implemented / incomplete evidence", IF(INDEX(Questions!D:D, G12)="Not Yet", "Not implemented yet", IF(INDEX(Questions!D:D, G12)="", "Not yet answered (treated as Not Yet)", "Pending"))))))</f>
        <v/>
      </c>
      <c r="E12" s="65">
        <f>IF(G12="", "", IF(INDEX(Questions!I:I, G12)="3.5.3", 5, INDEX(Questions!L:L, G12)))</f>
        <v/>
      </c>
      <c r="F12" s="66">
        <f>IF(G12="", "", INDEX(Questions!M:M, G12))</f>
        <v/>
      </c>
      <c r="G12" s="27">
        <f>IFERROR(IF(SMALL(Gap_Slot_Range, ROW()-4)=-1, MATCH("3.12.4", Questions!A:A, 0), SMALL(Gap_Slot_Range, ROW()-4)), "")</f>
        <v/>
      </c>
    </row>
    <row r="13">
      <c r="A13" s="47">
        <f>IF(G13="", "", IF(INDEX(Questions!I:I, G13)="3.5.3", "3.5.3", INDEX(Questions!A:A, G13)))</f>
        <v/>
      </c>
      <c r="B13" s="65">
        <f>IF(G13="", "", INDEX(Questions!N:N, G13))</f>
        <v/>
      </c>
      <c r="C13" s="66">
        <f>IF(G13="", "", IF(INDEX(Questions!A:A, G13)="3.5.3a", "Multi-Factor Authentication — sub-parts failing: " &amp; INDEX(Questions!P:P, G13), INDEX(Questions!B:B, G13)))</f>
        <v/>
      </c>
      <c r="D13" s="66">
        <f>IF(G13="", "", IF(INDEX(Questions!A:A, G13)="3.12.4", "Gate control — score not calculable until SSP exists", IF(INDEX(Questions!A:A, G13)="3.5.3a", "One or more sub-parts not in place", IF(INDEX(Questions!D:D, G13)="Partial", "Partially implemented / incomplete evidence", IF(INDEX(Questions!D:D, G13)="Not Yet", "Not implemented yet", IF(INDEX(Questions!D:D, G13)="", "Not yet answered (treated as Not Yet)", "Pending"))))))</f>
        <v/>
      </c>
      <c r="E13" s="65">
        <f>IF(G13="", "", IF(INDEX(Questions!I:I, G13)="3.5.3", 5, INDEX(Questions!L:L, G13)))</f>
        <v/>
      </c>
      <c r="F13" s="66">
        <f>IF(G13="", "", INDEX(Questions!M:M, G13))</f>
        <v/>
      </c>
      <c r="G13" s="27">
        <f>IFERROR(IF(SMALL(Gap_Slot_Range, ROW()-4)=-1, MATCH("3.12.4", Questions!A:A, 0), SMALL(Gap_Slot_Range, ROW()-4)), "")</f>
        <v/>
      </c>
    </row>
    <row r="14">
      <c r="A14" s="47">
        <f>IF(G14="", "", IF(INDEX(Questions!I:I, G14)="3.5.3", "3.5.3", INDEX(Questions!A:A, G14)))</f>
        <v/>
      </c>
      <c r="B14" s="65">
        <f>IF(G14="", "", INDEX(Questions!N:N, G14))</f>
        <v/>
      </c>
      <c r="C14" s="66">
        <f>IF(G14="", "", IF(INDEX(Questions!A:A, G14)="3.5.3a", "Multi-Factor Authentication — sub-parts failing: " &amp; INDEX(Questions!P:P, G14), INDEX(Questions!B:B, G14)))</f>
        <v/>
      </c>
      <c r="D14" s="66">
        <f>IF(G14="", "", IF(INDEX(Questions!A:A, G14)="3.12.4", "Gate control — score not calculable until SSP exists", IF(INDEX(Questions!A:A, G14)="3.5.3a", "One or more sub-parts not in place", IF(INDEX(Questions!D:D, G14)="Partial", "Partially implemented / incomplete evidence", IF(INDEX(Questions!D:D, G14)="Not Yet", "Not implemented yet", IF(INDEX(Questions!D:D, G14)="", "Not yet answered (treated as Not Yet)", "Pending"))))))</f>
        <v/>
      </c>
      <c r="E14" s="65">
        <f>IF(G14="", "", IF(INDEX(Questions!I:I, G14)="3.5.3", 5, INDEX(Questions!L:L, G14)))</f>
        <v/>
      </c>
      <c r="F14" s="66">
        <f>IF(G14="", "", INDEX(Questions!M:M, G14))</f>
        <v/>
      </c>
      <c r="G14" s="27">
        <f>IFERROR(IF(SMALL(Gap_Slot_Range, ROW()-4)=-1, MATCH("3.12.4", Questions!A:A, 0), SMALL(Gap_Slot_Range, ROW()-4)), "")</f>
        <v/>
      </c>
    </row>
    <row r="15">
      <c r="A15" s="47">
        <f>IF(G15="", "", IF(INDEX(Questions!I:I, G15)="3.5.3", "3.5.3", INDEX(Questions!A:A, G15)))</f>
        <v/>
      </c>
      <c r="B15" s="65">
        <f>IF(G15="", "", INDEX(Questions!N:N, G15))</f>
        <v/>
      </c>
      <c r="C15" s="66">
        <f>IF(G15="", "", IF(INDEX(Questions!A:A, G15)="3.5.3a", "Multi-Factor Authentication — sub-parts failing: " &amp; INDEX(Questions!P:P, G15), INDEX(Questions!B:B, G15)))</f>
        <v/>
      </c>
      <c r="D15" s="66">
        <f>IF(G15="", "", IF(INDEX(Questions!A:A, G15)="3.12.4", "Gate control — score not calculable until SSP exists", IF(INDEX(Questions!A:A, G15)="3.5.3a", "One or more sub-parts not in place", IF(INDEX(Questions!D:D, G15)="Partial", "Partially implemented / incomplete evidence", IF(INDEX(Questions!D:D, G15)="Not Yet", "Not implemented yet", IF(INDEX(Questions!D:D, G15)="", "Not yet answered (treated as Not Yet)", "Pending"))))))</f>
        <v/>
      </c>
      <c r="E15" s="65">
        <f>IF(G15="", "", IF(INDEX(Questions!I:I, G15)="3.5.3", 5, INDEX(Questions!L:L, G15)))</f>
        <v/>
      </c>
      <c r="F15" s="66">
        <f>IF(G15="", "", INDEX(Questions!M:M, G15))</f>
        <v/>
      </c>
      <c r="G15" s="27">
        <f>IFERROR(IF(SMALL(Gap_Slot_Range, ROW()-4)=-1, MATCH("3.12.4", Questions!A:A, 0), SMALL(Gap_Slot_Range, ROW()-4)), "")</f>
        <v/>
      </c>
    </row>
    <row r="16">
      <c r="A16" s="47">
        <f>IF(G16="", "", IF(INDEX(Questions!I:I, G16)="3.5.3", "3.5.3", INDEX(Questions!A:A, G16)))</f>
        <v/>
      </c>
      <c r="B16" s="65">
        <f>IF(G16="", "", INDEX(Questions!N:N, G16))</f>
        <v/>
      </c>
      <c r="C16" s="66">
        <f>IF(G16="", "", IF(INDEX(Questions!A:A, G16)="3.5.3a", "Multi-Factor Authentication — sub-parts failing: " &amp; INDEX(Questions!P:P, G16), INDEX(Questions!B:B, G16)))</f>
        <v/>
      </c>
      <c r="D16" s="66">
        <f>IF(G16="", "", IF(INDEX(Questions!A:A, G16)="3.12.4", "Gate control — score not calculable until SSP exists", IF(INDEX(Questions!A:A, G16)="3.5.3a", "One or more sub-parts not in place", IF(INDEX(Questions!D:D, G16)="Partial", "Partially implemented / incomplete evidence", IF(INDEX(Questions!D:D, G16)="Not Yet", "Not implemented yet", IF(INDEX(Questions!D:D, G16)="", "Not yet answered (treated as Not Yet)", "Pending"))))))</f>
        <v/>
      </c>
      <c r="E16" s="65">
        <f>IF(G16="", "", IF(INDEX(Questions!I:I, G16)="3.5.3", 5, INDEX(Questions!L:L, G16)))</f>
        <v/>
      </c>
      <c r="F16" s="66">
        <f>IF(G16="", "", INDEX(Questions!M:M, G16))</f>
        <v/>
      </c>
      <c r="G16" s="27">
        <f>IFERROR(IF(SMALL(Gap_Slot_Range, ROW()-4)=-1, MATCH("3.12.4", Questions!A:A, 0), SMALL(Gap_Slot_Range, ROW()-4)), "")</f>
        <v/>
      </c>
    </row>
    <row r="17">
      <c r="A17" s="47">
        <f>IF(G17="", "", IF(INDEX(Questions!I:I, G17)="3.5.3", "3.5.3", INDEX(Questions!A:A, G17)))</f>
        <v/>
      </c>
      <c r="B17" s="65">
        <f>IF(G17="", "", INDEX(Questions!N:N, G17))</f>
        <v/>
      </c>
      <c r="C17" s="66">
        <f>IF(G17="", "", IF(INDEX(Questions!A:A, G17)="3.5.3a", "Multi-Factor Authentication — sub-parts failing: " &amp; INDEX(Questions!P:P, G17), INDEX(Questions!B:B, G17)))</f>
        <v/>
      </c>
      <c r="D17" s="66">
        <f>IF(G17="", "", IF(INDEX(Questions!A:A, G17)="3.12.4", "Gate control — score not calculable until SSP exists", IF(INDEX(Questions!A:A, G17)="3.5.3a", "One or more sub-parts not in place", IF(INDEX(Questions!D:D, G17)="Partial", "Partially implemented / incomplete evidence", IF(INDEX(Questions!D:D, G17)="Not Yet", "Not implemented yet", IF(INDEX(Questions!D:D, G17)="", "Not yet answered (treated as Not Yet)", "Pending"))))))</f>
        <v/>
      </c>
      <c r="E17" s="65">
        <f>IF(G17="", "", IF(INDEX(Questions!I:I, G17)="3.5.3", 5, INDEX(Questions!L:L, G17)))</f>
        <v/>
      </c>
      <c r="F17" s="66">
        <f>IF(G17="", "", INDEX(Questions!M:M, G17))</f>
        <v/>
      </c>
      <c r="G17" s="27">
        <f>IFERROR(IF(SMALL(Gap_Slot_Range, ROW()-4)=-1, MATCH("3.12.4", Questions!A:A, 0), SMALL(Gap_Slot_Range, ROW()-4)), "")</f>
        <v/>
      </c>
    </row>
    <row r="18">
      <c r="A18" s="47">
        <f>IF(G18="", "", IF(INDEX(Questions!I:I, G18)="3.5.3", "3.5.3", INDEX(Questions!A:A, G18)))</f>
        <v/>
      </c>
      <c r="B18" s="65">
        <f>IF(G18="", "", INDEX(Questions!N:N, G18))</f>
        <v/>
      </c>
      <c r="C18" s="66">
        <f>IF(G18="", "", IF(INDEX(Questions!A:A, G18)="3.5.3a", "Multi-Factor Authentication — sub-parts failing: " &amp; INDEX(Questions!P:P, G18), INDEX(Questions!B:B, G18)))</f>
        <v/>
      </c>
      <c r="D18" s="66">
        <f>IF(G18="", "", IF(INDEX(Questions!A:A, G18)="3.12.4", "Gate control — score not calculable until SSP exists", IF(INDEX(Questions!A:A, G18)="3.5.3a", "One or more sub-parts not in place", IF(INDEX(Questions!D:D, G18)="Partial", "Partially implemented / incomplete evidence", IF(INDEX(Questions!D:D, G18)="Not Yet", "Not implemented yet", IF(INDEX(Questions!D:D, G18)="", "Not yet answered (treated as Not Yet)", "Pending"))))))</f>
        <v/>
      </c>
      <c r="E18" s="65">
        <f>IF(G18="", "", IF(INDEX(Questions!I:I, G18)="3.5.3", 5, INDEX(Questions!L:L, G18)))</f>
        <v/>
      </c>
      <c r="F18" s="66">
        <f>IF(G18="", "", INDEX(Questions!M:M, G18))</f>
        <v/>
      </c>
      <c r="G18" s="27">
        <f>IFERROR(IF(SMALL(Gap_Slot_Range, ROW()-4)=-1, MATCH("3.12.4", Questions!A:A, 0), SMALL(Gap_Slot_Range, ROW()-4)), "")</f>
        <v/>
      </c>
    </row>
    <row r="19">
      <c r="A19" s="47">
        <f>IF(G19="", "", IF(INDEX(Questions!I:I, G19)="3.5.3", "3.5.3", INDEX(Questions!A:A, G19)))</f>
        <v/>
      </c>
      <c r="B19" s="65">
        <f>IF(G19="", "", INDEX(Questions!N:N, G19))</f>
        <v/>
      </c>
      <c r="C19" s="66">
        <f>IF(G19="", "", IF(INDEX(Questions!A:A, G19)="3.5.3a", "Multi-Factor Authentication — sub-parts failing: " &amp; INDEX(Questions!P:P, G19), INDEX(Questions!B:B, G19)))</f>
        <v/>
      </c>
      <c r="D19" s="66">
        <f>IF(G19="", "", IF(INDEX(Questions!A:A, G19)="3.12.4", "Gate control — score not calculable until SSP exists", IF(INDEX(Questions!A:A, G19)="3.5.3a", "One or more sub-parts not in place", IF(INDEX(Questions!D:D, G19)="Partial", "Partially implemented / incomplete evidence", IF(INDEX(Questions!D:D, G19)="Not Yet", "Not implemented yet", IF(INDEX(Questions!D:D, G19)="", "Not yet answered (treated as Not Yet)", "Pending"))))))</f>
        <v/>
      </c>
      <c r="E19" s="65">
        <f>IF(G19="", "", IF(INDEX(Questions!I:I, G19)="3.5.3", 5, INDEX(Questions!L:L, G19)))</f>
        <v/>
      </c>
      <c r="F19" s="66">
        <f>IF(G19="", "", INDEX(Questions!M:M, G19))</f>
        <v/>
      </c>
      <c r="G19" s="27">
        <f>IFERROR(IF(SMALL(Gap_Slot_Range, ROW()-4)=-1, MATCH("3.12.4", Questions!A:A, 0), SMALL(Gap_Slot_Range, ROW()-4)), "")</f>
        <v/>
      </c>
    </row>
    <row r="20">
      <c r="A20" s="47">
        <f>IF(G20="", "", IF(INDEX(Questions!I:I, G20)="3.5.3", "3.5.3", INDEX(Questions!A:A, G20)))</f>
        <v/>
      </c>
      <c r="B20" s="65">
        <f>IF(G20="", "", INDEX(Questions!N:N, G20))</f>
        <v/>
      </c>
      <c r="C20" s="66">
        <f>IF(G20="", "", IF(INDEX(Questions!A:A, G20)="3.5.3a", "Multi-Factor Authentication — sub-parts failing: " &amp; INDEX(Questions!P:P, G20), INDEX(Questions!B:B, G20)))</f>
        <v/>
      </c>
      <c r="D20" s="66">
        <f>IF(G20="", "", IF(INDEX(Questions!A:A, G20)="3.12.4", "Gate control — score not calculable until SSP exists", IF(INDEX(Questions!A:A, G20)="3.5.3a", "One or more sub-parts not in place", IF(INDEX(Questions!D:D, G20)="Partial", "Partially implemented / incomplete evidence", IF(INDEX(Questions!D:D, G20)="Not Yet", "Not implemented yet", IF(INDEX(Questions!D:D, G20)="", "Not yet answered (treated as Not Yet)", "Pending"))))))</f>
        <v/>
      </c>
      <c r="E20" s="65">
        <f>IF(G20="", "", IF(INDEX(Questions!I:I, G20)="3.5.3", 5, INDEX(Questions!L:L, G20)))</f>
        <v/>
      </c>
      <c r="F20" s="66">
        <f>IF(G20="", "", INDEX(Questions!M:M, G20))</f>
        <v/>
      </c>
      <c r="G20" s="27">
        <f>IFERROR(IF(SMALL(Gap_Slot_Range, ROW()-4)=-1, MATCH("3.12.4", Questions!A:A, 0), SMALL(Gap_Slot_Range, ROW()-4)), "")</f>
        <v/>
      </c>
    </row>
    <row r="21">
      <c r="A21" s="47">
        <f>IF(G21="", "", IF(INDEX(Questions!I:I, G21)="3.5.3", "3.5.3", INDEX(Questions!A:A, G21)))</f>
        <v/>
      </c>
      <c r="B21" s="65">
        <f>IF(G21="", "", INDEX(Questions!N:N, G21))</f>
        <v/>
      </c>
      <c r="C21" s="66">
        <f>IF(G21="", "", IF(INDEX(Questions!A:A, G21)="3.5.3a", "Multi-Factor Authentication — sub-parts failing: " &amp; INDEX(Questions!P:P, G21), INDEX(Questions!B:B, G21)))</f>
        <v/>
      </c>
      <c r="D21" s="66">
        <f>IF(G21="", "", IF(INDEX(Questions!A:A, G21)="3.12.4", "Gate control — score not calculable until SSP exists", IF(INDEX(Questions!A:A, G21)="3.5.3a", "One or more sub-parts not in place", IF(INDEX(Questions!D:D, G21)="Partial", "Partially implemented / incomplete evidence", IF(INDEX(Questions!D:D, G21)="Not Yet", "Not implemented yet", IF(INDEX(Questions!D:D, G21)="", "Not yet answered (treated as Not Yet)", "Pending"))))))</f>
        <v/>
      </c>
      <c r="E21" s="65">
        <f>IF(G21="", "", IF(INDEX(Questions!I:I, G21)="3.5.3", 5, INDEX(Questions!L:L, G21)))</f>
        <v/>
      </c>
      <c r="F21" s="66">
        <f>IF(G21="", "", INDEX(Questions!M:M, G21))</f>
        <v/>
      </c>
      <c r="G21" s="27">
        <f>IFERROR(IF(SMALL(Gap_Slot_Range, ROW()-4)=-1, MATCH("3.12.4", Questions!A:A, 0), SMALL(Gap_Slot_Range, ROW()-4)), "")</f>
        <v/>
      </c>
    </row>
    <row r="22">
      <c r="A22" s="47">
        <f>IF(G22="", "", IF(INDEX(Questions!I:I, G22)="3.5.3", "3.5.3", INDEX(Questions!A:A, G22)))</f>
        <v/>
      </c>
      <c r="B22" s="65">
        <f>IF(G22="", "", INDEX(Questions!N:N, G22))</f>
        <v/>
      </c>
      <c r="C22" s="66">
        <f>IF(G22="", "", IF(INDEX(Questions!A:A, G22)="3.5.3a", "Multi-Factor Authentication — sub-parts failing: " &amp; INDEX(Questions!P:P, G22), INDEX(Questions!B:B, G22)))</f>
        <v/>
      </c>
      <c r="D22" s="66">
        <f>IF(G22="", "", IF(INDEX(Questions!A:A, G22)="3.12.4", "Gate control — score not calculable until SSP exists", IF(INDEX(Questions!A:A, G22)="3.5.3a", "One or more sub-parts not in place", IF(INDEX(Questions!D:D, G22)="Partial", "Partially implemented / incomplete evidence", IF(INDEX(Questions!D:D, G22)="Not Yet", "Not implemented yet", IF(INDEX(Questions!D:D, G22)="", "Not yet answered (treated as Not Yet)", "Pending"))))))</f>
        <v/>
      </c>
      <c r="E22" s="65">
        <f>IF(G22="", "", IF(INDEX(Questions!I:I, G22)="3.5.3", 5, INDEX(Questions!L:L, G22)))</f>
        <v/>
      </c>
      <c r="F22" s="66">
        <f>IF(G22="", "", INDEX(Questions!M:M, G22))</f>
        <v/>
      </c>
      <c r="G22" s="27">
        <f>IFERROR(IF(SMALL(Gap_Slot_Range, ROW()-4)=-1, MATCH("3.12.4", Questions!A:A, 0), SMALL(Gap_Slot_Range, ROW()-4)), "")</f>
        <v/>
      </c>
    </row>
    <row r="23">
      <c r="A23" s="47">
        <f>IF(G23="", "", IF(INDEX(Questions!I:I, G23)="3.5.3", "3.5.3", INDEX(Questions!A:A, G23)))</f>
        <v/>
      </c>
      <c r="B23" s="65">
        <f>IF(G23="", "", INDEX(Questions!N:N, G23))</f>
        <v/>
      </c>
      <c r="C23" s="66">
        <f>IF(G23="", "", IF(INDEX(Questions!A:A, G23)="3.5.3a", "Multi-Factor Authentication — sub-parts failing: " &amp; INDEX(Questions!P:P, G23), INDEX(Questions!B:B, G23)))</f>
        <v/>
      </c>
      <c r="D23" s="66">
        <f>IF(G23="", "", IF(INDEX(Questions!A:A, G23)="3.12.4", "Gate control — score not calculable until SSP exists", IF(INDEX(Questions!A:A, G23)="3.5.3a", "One or more sub-parts not in place", IF(INDEX(Questions!D:D, G23)="Partial", "Partially implemented / incomplete evidence", IF(INDEX(Questions!D:D, G23)="Not Yet", "Not implemented yet", IF(INDEX(Questions!D:D, G23)="", "Not yet answered (treated as Not Yet)", "Pending"))))))</f>
        <v/>
      </c>
      <c r="E23" s="65">
        <f>IF(G23="", "", IF(INDEX(Questions!I:I, G23)="3.5.3", 5, INDEX(Questions!L:L, G23)))</f>
        <v/>
      </c>
      <c r="F23" s="66">
        <f>IF(G23="", "", INDEX(Questions!M:M, G23))</f>
        <v/>
      </c>
      <c r="G23" s="27">
        <f>IFERROR(IF(SMALL(Gap_Slot_Range, ROW()-4)=-1, MATCH("3.12.4", Questions!A:A, 0), SMALL(Gap_Slot_Range, ROW()-4)), "")</f>
        <v/>
      </c>
    </row>
    <row r="24">
      <c r="A24" s="47">
        <f>IF(G24="", "", IF(INDEX(Questions!I:I, G24)="3.5.3", "3.5.3", INDEX(Questions!A:A, G24)))</f>
        <v/>
      </c>
      <c r="B24" s="65">
        <f>IF(G24="", "", INDEX(Questions!N:N, G24))</f>
        <v/>
      </c>
      <c r="C24" s="66">
        <f>IF(G24="", "", IF(INDEX(Questions!A:A, G24)="3.5.3a", "Multi-Factor Authentication — sub-parts failing: " &amp; INDEX(Questions!P:P, G24), INDEX(Questions!B:B, G24)))</f>
        <v/>
      </c>
      <c r="D24" s="66">
        <f>IF(G24="", "", IF(INDEX(Questions!A:A, G24)="3.12.4", "Gate control — score not calculable until SSP exists", IF(INDEX(Questions!A:A, G24)="3.5.3a", "One or more sub-parts not in place", IF(INDEX(Questions!D:D, G24)="Partial", "Partially implemented / incomplete evidence", IF(INDEX(Questions!D:D, G24)="Not Yet", "Not implemented yet", IF(INDEX(Questions!D:D, G24)="", "Not yet answered (treated as Not Yet)", "Pending"))))))</f>
        <v/>
      </c>
      <c r="E24" s="65">
        <f>IF(G24="", "", IF(INDEX(Questions!I:I, G24)="3.5.3", 5, INDEX(Questions!L:L, G24)))</f>
        <v/>
      </c>
      <c r="F24" s="66">
        <f>IF(G24="", "", INDEX(Questions!M:M, G24))</f>
        <v/>
      </c>
      <c r="G24" s="27">
        <f>IFERROR(IF(SMALL(Gap_Slot_Range, ROW()-4)=-1, MATCH("3.12.4", Questions!A:A, 0), SMALL(Gap_Slot_Range, ROW()-4)), "")</f>
        <v/>
      </c>
    </row>
    <row r="25">
      <c r="A25" s="47">
        <f>IF(G25="", "", IF(INDEX(Questions!I:I, G25)="3.5.3", "3.5.3", INDEX(Questions!A:A, G25)))</f>
        <v/>
      </c>
      <c r="B25" s="65">
        <f>IF(G25="", "", INDEX(Questions!N:N, G25))</f>
        <v/>
      </c>
      <c r="C25" s="66">
        <f>IF(G25="", "", IF(INDEX(Questions!A:A, G25)="3.5.3a", "Multi-Factor Authentication — sub-parts failing: " &amp; INDEX(Questions!P:P, G25), INDEX(Questions!B:B, G25)))</f>
        <v/>
      </c>
      <c r="D25" s="66">
        <f>IF(G25="", "", IF(INDEX(Questions!A:A, G25)="3.12.4", "Gate control — score not calculable until SSP exists", IF(INDEX(Questions!A:A, G25)="3.5.3a", "One or more sub-parts not in place", IF(INDEX(Questions!D:D, G25)="Partial", "Partially implemented / incomplete evidence", IF(INDEX(Questions!D:D, G25)="Not Yet", "Not implemented yet", IF(INDEX(Questions!D:D, G25)="", "Not yet answered (treated as Not Yet)", "Pending"))))))</f>
        <v/>
      </c>
      <c r="E25" s="65">
        <f>IF(G25="", "", IF(INDEX(Questions!I:I, G25)="3.5.3", 5, INDEX(Questions!L:L, G25)))</f>
        <v/>
      </c>
      <c r="F25" s="66">
        <f>IF(G25="", "", INDEX(Questions!M:M, G25))</f>
        <v/>
      </c>
      <c r="G25" s="27">
        <f>IFERROR(IF(SMALL(Gap_Slot_Range, ROW()-4)=-1, MATCH("3.12.4", Questions!A:A, 0), SMALL(Gap_Slot_Range, ROW()-4)), "")</f>
        <v/>
      </c>
    </row>
    <row r="26">
      <c r="A26" s="47">
        <f>IF(G26="", "", IF(INDEX(Questions!I:I, G26)="3.5.3", "3.5.3", INDEX(Questions!A:A, G26)))</f>
        <v/>
      </c>
      <c r="B26" s="65">
        <f>IF(G26="", "", INDEX(Questions!N:N, G26))</f>
        <v/>
      </c>
      <c r="C26" s="66">
        <f>IF(G26="", "", IF(INDEX(Questions!A:A, G26)="3.5.3a", "Multi-Factor Authentication — sub-parts failing: " &amp; INDEX(Questions!P:P, G26), INDEX(Questions!B:B, G26)))</f>
        <v/>
      </c>
      <c r="D26" s="66">
        <f>IF(G26="", "", IF(INDEX(Questions!A:A, G26)="3.12.4", "Gate control — score not calculable until SSP exists", IF(INDEX(Questions!A:A, G26)="3.5.3a", "One or more sub-parts not in place", IF(INDEX(Questions!D:D, G26)="Partial", "Partially implemented / incomplete evidence", IF(INDEX(Questions!D:D, G26)="Not Yet", "Not implemented yet", IF(INDEX(Questions!D:D, G26)="", "Not yet answered (treated as Not Yet)", "Pending"))))))</f>
        <v/>
      </c>
      <c r="E26" s="65">
        <f>IF(G26="", "", IF(INDEX(Questions!I:I, G26)="3.5.3", 5, INDEX(Questions!L:L, G26)))</f>
        <v/>
      </c>
      <c r="F26" s="66">
        <f>IF(G26="", "", INDEX(Questions!M:M, G26))</f>
        <v/>
      </c>
      <c r="G26" s="27">
        <f>IFERROR(IF(SMALL(Gap_Slot_Range, ROW()-4)=-1, MATCH("3.12.4", Questions!A:A, 0), SMALL(Gap_Slot_Range, ROW()-4)), "")</f>
        <v/>
      </c>
    </row>
    <row r="27">
      <c r="A27" s="47">
        <f>IF(G27="", "", IF(INDEX(Questions!I:I, G27)="3.5.3", "3.5.3", INDEX(Questions!A:A, G27)))</f>
        <v/>
      </c>
      <c r="B27" s="65">
        <f>IF(G27="", "", INDEX(Questions!N:N, G27))</f>
        <v/>
      </c>
      <c r="C27" s="66">
        <f>IF(G27="", "", IF(INDEX(Questions!A:A, G27)="3.5.3a", "Multi-Factor Authentication — sub-parts failing: " &amp; INDEX(Questions!P:P, G27), INDEX(Questions!B:B, G27)))</f>
        <v/>
      </c>
      <c r="D27" s="66">
        <f>IF(G27="", "", IF(INDEX(Questions!A:A, G27)="3.12.4", "Gate control — score not calculable until SSP exists", IF(INDEX(Questions!A:A, G27)="3.5.3a", "One or more sub-parts not in place", IF(INDEX(Questions!D:D, G27)="Partial", "Partially implemented / incomplete evidence", IF(INDEX(Questions!D:D, G27)="Not Yet", "Not implemented yet", IF(INDEX(Questions!D:D, G27)="", "Not yet answered (treated as Not Yet)", "Pending"))))))</f>
        <v/>
      </c>
      <c r="E27" s="65">
        <f>IF(G27="", "", IF(INDEX(Questions!I:I, G27)="3.5.3", 5, INDEX(Questions!L:L, G27)))</f>
        <v/>
      </c>
      <c r="F27" s="66">
        <f>IF(G27="", "", INDEX(Questions!M:M, G27))</f>
        <v/>
      </c>
      <c r="G27" s="27">
        <f>IFERROR(IF(SMALL(Gap_Slot_Range, ROW()-4)=-1, MATCH("3.12.4", Questions!A:A, 0), SMALL(Gap_Slot_Range, ROW()-4)), "")</f>
        <v/>
      </c>
    </row>
    <row r="28">
      <c r="A28" s="47">
        <f>IF(G28="", "", IF(INDEX(Questions!I:I, G28)="3.5.3", "3.5.3", INDEX(Questions!A:A, G28)))</f>
        <v/>
      </c>
      <c r="B28" s="65">
        <f>IF(G28="", "", INDEX(Questions!N:N, G28))</f>
        <v/>
      </c>
      <c r="C28" s="66">
        <f>IF(G28="", "", IF(INDEX(Questions!A:A, G28)="3.5.3a", "Multi-Factor Authentication — sub-parts failing: " &amp; INDEX(Questions!P:P, G28), INDEX(Questions!B:B, G28)))</f>
        <v/>
      </c>
      <c r="D28" s="66">
        <f>IF(G28="", "", IF(INDEX(Questions!A:A, G28)="3.12.4", "Gate control — score not calculable until SSP exists", IF(INDEX(Questions!A:A, G28)="3.5.3a", "One or more sub-parts not in place", IF(INDEX(Questions!D:D, G28)="Partial", "Partially implemented / incomplete evidence", IF(INDEX(Questions!D:D, G28)="Not Yet", "Not implemented yet", IF(INDEX(Questions!D:D, G28)="", "Not yet answered (treated as Not Yet)", "Pending"))))))</f>
        <v/>
      </c>
      <c r="E28" s="65">
        <f>IF(G28="", "", IF(INDEX(Questions!I:I, G28)="3.5.3", 5, INDEX(Questions!L:L, G28)))</f>
        <v/>
      </c>
      <c r="F28" s="66">
        <f>IF(G28="", "", INDEX(Questions!M:M, G28))</f>
        <v/>
      </c>
      <c r="G28" s="27">
        <f>IFERROR(IF(SMALL(Gap_Slot_Range, ROW()-4)=-1, MATCH("3.12.4", Questions!A:A, 0), SMALL(Gap_Slot_Range, ROW()-4)), "")</f>
        <v/>
      </c>
    </row>
    <row r="29">
      <c r="A29" s="47">
        <f>IF(G29="", "", IF(INDEX(Questions!I:I, G29)="3.5.3", "3.5.3", INDEX(Questions!A:A, G29)))</f>
        <v/>
      </c>
      <c r="B29" s="65">
        <f>IF(G29="", "", INDEX(Questions!N:N, G29))</f>
        <v/>
      </c>
      <c r="C29" s="66">
        <f>IF(G29="", "", IF(INDEX(Questions!A:A, G29)="3.5.3a", "Multi-Factor Authentication — sub-parts failing: " &amp; INDEX(Questions!P:P, G29), INDEX(Questions!B:B, G29)))</f>
        <v/>
      </c>
      <c r="D29" s="66">
        <f>IF(G29="", "", IF(INDEX(Questions!A:A, G29)="3.12.4", "Gate control — score not calculable until SSP exists", IF(INDEX(Questions!A:A, G29)="3.5.3a", "One or more sub-parts not in place", IF(INDEX(Questions!D:D, G29)="Partial", "Partially implemented / incomplete evidence", IF(INDEX(Questions!D:D, G29)="Not Yet", "Not implemented yet", IF(INDEX(Questions!D:D, G29)="", "Not yet answered (treated as Not Yet)", "Pending"))))))</f>
        <v/>
      </c>
      <c r="E29" s="65">
        <f>IF(G29="", "", IF(INDEX(Questions!I:I, G29)="3.5.3", 5, INDEX(Questions!L:L, G29)))</f>
        <v/>
      </c>
      <c r="F29" s="66">
        <f>IF(G29="", "", INDEX(Questions!M:M, G29))</f>
        <v/>
      </c>
      <c r="G29" s="27">
        <f>IFERROR(IF(SMALL(Gap_Slot_Range, ROW()-4)=-1, MATCH("3.12.4", Questions!A:A, 0), SMALL(Gap_Slot_Range, ROW()-4)), "")</f>
        <v/>
      </c>
    </row>
    <row r="30">
      <c r="A30" s="47">
        <f>IF(G30="", "", IF(INDEX(Questions!I:I, G30)="3.5.3", "3.5.3", INDEX(Questions!A:A, G30)))</f>
        <v/>
      </c>
      <c r="B30" s="65">
        <f>IF(G30="", "", INDEX(Questions!N:N, G30))</f>
        <v/>
      </c>
      <c r="C30" s="66">
        <f>IF(G30="", "", IF(INDEX(Questions!A:A, G30)="3.5.3a", "Multi-Factor Authentication — sub-parts failing: " &amp; INDEX(Questions!P:P, G30), INDEX(Questions!B:B, G30)))</f>
        <v/>
      </c>
      <c r="D30" s="66">
        <f>IF(G30="", "", IF(INDEX(Questions!A:A, G30)="3.12.4", "Gate control — score not calculable until SSP exists", IF(INDEX(Questions!A:A, G30)="3.5.3a", "One or more sub-parts not in place", IF(INDEX(Questions!D:D, G30)="Partial", "Partially implemented / incomplete evidence", IF(INDEX(Questions!D:D, G30)="Not Yet", "Not implemented yet", IF(INDEX(Questions!D:D, G30)="", "Not yet answered (treated as Not Yet)", "Pending"))))))</f>
        <v/>
      </c>
      <c r="E30" s="65">
        <f>IF(G30="", "", IF(INDEX(Questions!I:I, G30)="3.5.3", 5, INDEX(Questions!L:L, G30)))</f>
        <v/>
      </c>
      <c r="F30" s="66">
        <f>IF(G30="", "", INDEX(Questions!M:M, G30))</f>
        <v/>
      </c>
      <c r="G30" s="27">
        <f>IFERROR(IF(SMALL(Gap_Slot_Range, ROW()-4)=-1, MATCH("3.12.4", Questions!A:A, 0), SMALL(Gap_Slot_Range, ROW()-4)), "")</f>
        <v/>
      </c>
    </row>
    <row r="31">
      <c r="A31" s="47">
        <f>IF(G31="", "", IF(INDEX(Questions!I:I, G31)="3.5.3", "3.5.3", INDEX(Questions!A:A, G31)))</f>
        <v/>
      </c>
      <c r="B31" s="65">
        <f>IF(G31="", "", INDEX(Questions!N:N, G31))</f>
        <v/>
      </c>
      <c r="C31" s="66">
        <f>IF(G31="", "", IF(INDEX(Questions!A:A, G31)="3.5.3a", "Multi-Factor Authentication — sub-parts failing: " &amp; INDEX(Questions!P:P, G31), INDEX(Questions!B:B, G31)))</f>
        <v/>
      </c>
      <c r="D31" s="66">
        <f>IF(G31="", "", IF(INDEX(Questions!A:A, G31)="3.12.4", "Gate control — score not calculable until SSP exists", IF(INDEX(Questions!A:A, G31)="3.5.3a", "One or more sub-parts not in place", IF(INDEX(Questions!D:D, G31)="Partial", "Partially implemented / incomplete evidence", IF(INDEX(Questions!D:D, G31)="Not Yet", "Not implemented yet", IF(INDEX(Questions!D:D, G31)="", "Not yet answered (treated as Not Yet)", "Pending"))))))</f>
        <v/>
      </c>
      <c r="E31" s="65">
        <f>IF(G31="", "", IF(INDEX(Questions!I:I, G31)="3.5.3", 5, INDEX(Questions!L:L, G31)))</f>
        <v/>
      </c>
      <c r="F31" s="66">
        <f>IF(G31="", "", INDEX(Questions!M:M, G31))</f>
        <v/>
      </c>
      <c r="G31" s="27">
        <f>IFERROR(IF(SMALL(Gap_Slot_Range, ROW()-4)=-1, MATCH("3.12.4", Questions!A:A, 0), SMALL(Gap_Slot_Range, ROW()-4)), "")</f>
        <v/>
      </c>
    </row>
    <row r="32">
      <c r="A32" s="47">
        <f>IF(G32="", "", IF(INDEX(Questions!I:I, G32)="3.5.3", "3.5.3", INDEX(Questions!A:A, G32)))</f>
        <v/>
      </c>
      <c r="B32" s="65">
        <f>IF(G32="", "", INDEX(Questions!N:N, G32))</f>
        <v/>
      </c>
      <c r="C32" s="66">
        <f>IF(G32="", "", IF(INDEX(Questions!A:A, G32)="3.5.3a", "Multi-Factor Authentication — sub-parts failing: " &amp; INDEX(Questions!P:P, G32), INDEX(Questions!B:B, G32)))</f>
        <v/>
      </c>
      <c r="D32" s="66">
        <f>IF(G32="", "", IF(INDEX(Questions!A:A, G32)="3.12.4", "Gate control — score not calculable until SSP exists", IF(INDEX(Questions!A:A, G32)="3.5.3a", "One or more sub-parts not in place", IF(INDEX(Questions!D:D, G32)="Partial", "Partially implemented / incomplete evidence", IF(INDEX(Questions!D:D, G32)="Not Yet", "Not implemented yet", IF(INDEX(Questions!D:D, G32)="", "Not yet answered (treated as Not Yet)", "Pending"))))))</f>
        <v/>
      </c>
      <c r="E32" s="65">
        <f>IF(G32="", "", IF(INDEX(Questions!I:I, G32)="3.5.3", 5, INDEX(Questions!L:L, G32)))</f>
        <v/>
      </c>
      <c r="F32" s="66">
        <f>IF(G32="", "", INDEX(Questions!M:M, G32))</f>
        <v/>
      </c>
      <c r="G32" s="27">
        <f>IFERROR(IF(SMALL(Gap_Slot_Range, ROW()-4)=-1, MATCH("3.12.4", Questions!A:A, 0), SMALL(Gap_Slot_Range, ROW()-4)), "")</f>
        <v/>
      </c>
    </row>
    <row r="33">
      <c r="A33" s="47">
        <f>IF(G33="", "", IF(INDEX(Questions!I:I, G33)="3.5.3", "3.5.3", INDEX(Questions!A:A, G33)))</f>
        <v/>
      </c>
      <c r="B33" s="65">
        <f>IF(G33="", "", INDEX(Questions!N:N, G33))</f>
        <v/>
      </c>
      <c r="C33" s="66">
        <f>IF(G33="", "", IF(INDEX(Questions!A:A, G33)="3.5.3a", "Multi-Factor Authentication — sub-parts failing: " &amp; INDEX(Questions!P:P, G33), INDEX(Questions!B:B, G33)))</f>
        <v/>
      </c>
      <c r="D33" s="66">
        <f>IF(G33="", "", IF(INDEX(Questions!A:A, G33)="3.12.4", "Gate control — score not calculable until SSP exists", IF(INDEX(Questions!A:A, G33)="3.5.3a", "One or more sub-parts not in place", IF(INDEX(Questions!D:D, G33)="Partial", "Partially implemented / incomplete evidence", IF(INDEX(Questions!D:D, G33)="Not Yet", "Not implemented yet", IF(INDEX(Questions!D:D, G33)="", "Not yet answered (treated as Not Yet)", "Pending"))))))</f>
        <v/>
      </c>
      <c r="E33" s="65">
        <f>IF(G33="", "", IF(INDEX(Questions!I:I, G33)="3.5.3", 5, INDEX(Questions!L:L, G33)))</f>
        <v/>
      </c>
      <c r="F33" s="66">
        <f>IF(G33="", "", INDEX(Questions!M:M, G33))</f>
        <v/>
      </c>
      <c r="G33" s="27">
        <f>IFERROR(IF(SMALL(Gap_Slot_Range, ROW()-4)=-1, MATCH("3.12.4", Questions!A:A, 0), SMALL(Gap_Slot_Range, ROW()-4)), "")</f>
        <v/>
      </c>
    </row>
    <row r="34">
      <c r="A34" s="47">
        <f>IF(G34="", "", IF(INDEX(Questions!I:I, G34)="3.5.3", "3.5.3", INDEX(Questions!A:A, G34)))</f>
        <v/>
      </c>
      <c r="B34" s="65">
        <f>IF(G34="", "", INDEX(Questions!N:N, G34))</f>
        <v/>
      </c>
      <c r="C34" s="66">
        <f>IF(G34="", "", IF(INDEX(Questions!A:A, G34)="3.5.3a", "Multi-Factor Authentication — sub-parts failing: " &amp; INDEX(Questions!P:P, G34), INDEX(Questions!B:B, G34)))</f>
        <v/>
      </c>
      <c r="D34" s="66">
        <f>IF(G34="", "", IF(INDEX(Questions!A:A, G34)="3.12.4", "Gate control — score not calculable until SSP exists", IF(INDEX(Questions!A:A, G34)="3.5.3a", "One or more sub-parts not in place", IF(INDEX(Questions!D:D, G34)="Partial", "Partially implemented / incomplete evidence", IF(INDEX(Questions!D:D, G34)="Not Yet", "Not implemented yet", IF(INDEX(Questions!D:D, G34)="", "Not yet answered (treated as Not Yet)", "Pending"))))))</f>
        <v/>
      </c>
      <c r="E34" s="65">
        <f>IF(G34="", "", IF(INDEX(Questions!I:I, G34)="3.5.3", 5, INDEX(Questions!L:L, G34)))</f>
        <v/>
      </c>
      <c r="F34" s="66">
        <f>IF(G34="", "", INDEX(Questions!M:M, G34))</f>
        <v/>
      </c>
      <c r="G34" s="27">
        <f>IFERROR(IF(SMALL(Gap_Slot_Range, ROW()-4)=-1, MATCH("3.12.4", Questions!A:A, 0), SMALL(Gap_Slot_Range, ROW()-4)), "")</f>
        <v/>
      </c>
    </row>
    <row r="35">
      <c r="A35" s="47">
        <f>IF(G35="", "", IF(INDEX(Questions!I:I, G35)="3.5.3", "3.5.3", INDEX(Questions!A:A, G35)))</f>
        <v/>
      </c>
      <c r="B35" s="65">
        <f>IF(G35="", "", INDEX(Questions!N:N, G35))</f>
        <v/>
      </c>
      <c r="C35" s="66">
        <f>IF(G35="", "", IF(INDEX(Questions!A:A, G35)="3.5.3a", "Multi-Factor Authentication — sub-parts failing: " &amp; INDEX(Questions!P:P, G35), INDEX(Questions!B:B, G35)))</f>
        <v/>
      </c>
      <c r="D35" s="66">
        <f>IF(G35="", "", IF(INDEX(Questions!A:A, G35)="3.12.4", "Gate control — score not calculable until SSP exists", IF(INDEX(Questions!A:A, G35)="3.5.3a", "One or more sub-parts not in place", IF(INDEX(Questions!D:D, G35)="Partial", "Partially implemented / incomplete evidence", IF(INDEX(Questions!D:D, G35)="Not Yet", "Not implemented yet", IF(INDEX(Questions!D:D, G35)="", "Not yet answered (treated as Not Yet)", "Pending"))))))</f>
        <v/>
      </c>
      <c r="E35" s="65">
        <f>IF(G35="", "", IF(INDEX(Questions!I:I, G35)="3.5.3", 5, INDEX(Questions!L:L, G35)))</f>
        <v/>
      </c>
      <c r="F35" s="66">
        <f>IF(G35="", "", INDEX(Questions!M:M, G35))</f>
        <v/>
      </c>
      <c r="G35" s="27">
        <f>IFERROR(IF(SMALL(Gap_Slot_Range, ROW()-4)=-1, MATCH("3.12.4", Questions!A:A, 0), SMALL(Gap_Slot_Range, ROW()-4)), "")</f>
        <v/>
      </c>
    </row>
    <row r="36">
      <c r="A36" s="47">
        <f>IF(G36="", "", IF(INDEX(Questions!I:I, G36)="3.5.3", "3.5.3", INDEX(Questions!A:A, G36)))</f>
        <v/>
      </c>
      <c r="B36" s="65">
        <f>IF(G36="", "", INDEX(Questions!N:N, G36))</f>
        <v/>
      </c>
      <c r="C36" s="66">
        <f>IF(G36="", "", IF(INDEX(Questions!A:A, G36)="3.5.3a", "Multi-Factor Authentication — sub-parts failing: " &amp; INDEX(Questions!P:P, G36), INDEX(Questions!B:B, G36)))</f>
        <v/>
      </c>
      <c r="D36" s="66">
        <f>IF(G36="", "", IF(INDEX(Questions!A:A, G36)="3.12.4", "Gate control — score not calculable until SSP exists", IF(INDEX(Questions!A:A, G36)="3.5.3a", "One or more sub-parts not in place", IF(INDEX(Questions!D:D, G36)="Partial", "Partially implemented / incomplete evidence", IF(INDEX(Questions!D:D, G36)="Not Yet", "Not implemented yet", IF(INDEX(Questions!D:D, G36)="", "Not yet answered (treated as Not Yet)", "Pending"))))))</f>
        <v/>
      </c>
      <c r="E36" s="65">
        <f>IF(G36="", "", IF(INDEX(Questions!I:I, G36)="3.5.3", 5, INDEX(Questions!L:L, G36)))</f>
        <v/>
      </c>
      <c r="F36" s="66">
        <f>IF(G36="", "", INDEX(Questions!M:M, G36))</f>
        <v/>
      </c>
      <c r="G36" s="27">
        <f>IFERROR(IF(SMALL(Gap_Slot_Range, ROW()-4)=-1, MATCH("3.12.4", Questions!A:A, 0), SMALL(Gap_Slot_Range, ROW()-4)), "")</f>
        <v/>
      </c>
    </row>
    <row r="37">
      <c r="A37" s="47">
        <f>IF(G37="", "", IF(INDEX(Questions!I:I, G37)="3.5.3", "3.5.3", INDEX(Questions!A:A, G37)))</f>
        <v/>
      </c>
      <c r="B37" s="65">
        <f>IF(G37="", "", INDEX(Questions!N:N, G37))</f>
        <v/>
      </c>
      <c r="C37" s="66">
        <f>IF(G37="", "", IF(INDEX(Questions!A:A, G37)="3.5.3a", "Multi-Factor Authentication — sub-parts failing: " &amp; INDEX(Questions!P:P, G37), INDEX(Questions!B:B, G37)))</f>
        <v/>
      </c>
      <c r="D37" s="66">
        <f>IF(G37="", "", IF(INDEX(Questions!A:A, G37)="3.12.4", "Gate control — score not calculable until SSP exists", IF(INDEX(Questions!A:A, G37)="3.5.3a", "One or more sub-parts not in place", IF(INDEX(Questions!D:D, G37)="Partial", "Partially implemented / incomplete evidence", IF(INDEX(Questions!D:D, G37)="Not Yet", "Not implemented yet", IF(INDEX(Questions!D:D, G37)="", "Not yet answered (treated as Not Yet)", "Pending"))))))</f>
        <v/>
      </c>
      <c r="E37" s="65">
        <f>IF(G37="", "", IF(INDEX(Questions!I:I, G37)="3.5.3", 5, INDEX(Questions!L:L, G37)))</f>
        <v/>
      </c>
      <c r="F37" s="66">
        <f>IF(G37="", "", INDEX(Questions!M:M, G37))</f>
        <v/>
      </c>
      <c r="G37" s="27">
        <f>IFERROR(IF(SMALL(Gap_Slot_Range, ROW()-4)=-1, MATCH("3.12.4", Questions!A:A, 0), SMALL(Gap_Slot_Range, ROW()-4)), "")</f>
        <v/>
      </c>
    </row>
    <row r="38">
      <c r="A38" s="47">
        <f>IF(G38="", "", IF(INDEX(Questions!I:I, G38)="3.5.3", "3.5.3", INDEX(Questions!A:A, G38)))</f>
        <v/>
      </c>
      <c r="B38" s="65">
        <f>IF(G38="", "", INDEX(Questions!N:N, G38))</f>
        <v/>
      </c>
      <c r="C38" s="66">
        <f>IF(G38="", "", IF(INDEX(Questions!A:A, G38)="3.5.3a", "Multi-Factor Authentication — sub-parts failing: " &amp; INDEX(Questions!P:P, G38), INDEX(Questions!B:B, G38)))</f>
        <v/>
      </c>
      <c r="D38" s="66">
        <f>IF(G38="", "", IF(INDEX(Questions!A:A, G38)="3.12.4", "Gate control — score not calculable until SSP exists", IF(INDEX(Questions!A:A, G38)="3.5.3a", "One or more sub-parts not in place", IF(INDEX(Questions!D:D, G38)="Partial", "Partially implemented / incomplete evidence", IF(INDEX(Questions!D:D, G38)="Not Yet", "Not implemented yet", IF(INDEX(Questions!D:D, G38)="", "Not yet answered (treated as Not Yet)", "Pending"))))))</f>
        <v/>
      </c>
      <c r="E38" s="65">
        <f>IF(G38="", "", IF(INDEX(Questions!I:I, G38)="3.5.3", 5, INDEX(Questions!L:L, G38)))</f>
        <v/>
      </c>
      <c r="F38" s="66">
        <f>IF(G38="", "", INDEX(Questions!M:M, G38))</f>
        <v/>
      </c>
      <c r="G38" s="27">
        <f>IFERROR(IF(SMALL(Gap_Slot_Range, ROW()-4)=-1, MATCH("3.12.4", Questions!A:A, 0), SMALL(Gap_Slot_Range, ROW()-4)), "")</f>
        <v/>
      </c>
    </row>
    <row r="39">
      <c r="A39" s="47">
        <f>IF(G39="", "", IF(INDEX(Questions!I:I, G39)="3.5.3", "3.5.3", INDEX(Questions!A:A, G39)))</f>
        <v/>
      </c>
      <c r="B39" s="65">
        <f>IF(G39="", "", INDEX(Questions!N:N, G39))</f>
        <v/>
      </c>
      <c r="C39" s="66">
        <f>IF(G39="", "", IF(INDEX(Questions!A:A, G39)="3.5.3a", "Multi-Factor Authentication — sub-parts failing: " &amp; INDEX(Questions!P:P, G39), INDEX(Questions!B:B, G39)))</f>
        <v/>
      </c>
      <c r="D39" s="66">
        <f>IF(G39="", "", IF(INDEX(Questions!A:A, G39)="3.12.4", "Gate control — score not calculable until SSP exists", IF(INDEX(Questions!A:A, G39)="3.5.3a", "One or more sub-parts not in place", IF(INDEX(Questions!D:D, G39)="Partial", "Partially implemented / incomplete evidence", IF(INDEX(Questions!D:D, G39)="Not Yet", "Not implemented yet", IF(INDEX(Questions!D:D, G39)="", "Not yet answered (treated as Not Yet)", "Pending"))))))</f>
        <v/>
      </c>
      <c r="E39" s="65">
        <f>IF(G39="", "", IF(INDEX(Questions!I:I, G39)="3.5.3", 5, INDEX(Questions!L:L, G39)))</f>
        <v/>
      </c>
      <c r="F39" s="66">
        <f>IF(G39="", "", INDEX(Questions!M:M, G39))</f>
        <v/>
      </c>
      <c r="G39" s="27">
        <f>IFERROR(IF(SMALL(Gap_Slot_Range, ROW()-4)=-1, MATCH("3.12.4", Questions!A:A, 0), SMALL(Gap_Slot_Range, ROW()-4)), "")</f>
        <v/>
      </c>
    </row>
    <row r="40">
      <c r="A40" s="47">
        <f>IF(G40="", "", IF(INDEX(Questions!I:I, G40)="3.5.3", "3.5.3", INDEX(Questions!A:A, G40)))</f>
        <v/>
      </c>
      <c r="B40" s="65">
        <f>IF(G40="", "", INDEX(Questions!N:N, G40))</f>
        <v/>
      </c>
      <c r="C40" s="66">
        <f>IF(G40="", "", IF(INDEX(Questions!A:A, G40)="3.5.3a", "Multi-Factor Authentication — sub-parts failing: " &amp; INDEX(Questions!P:P, G40), INDEX(Questions!B:B, G40)))</f>
        <v/>
      </c>
      <c r="D40" s="66">
        <f>IF(G40="", "", IF(INDEX(Questions!A:A, G40)="3.12.4", "Gate control — score not calculable until SSP exists", IF(INDEX(Questions!A:A, G40)="3.5.3a", "One or more sub-parts not in place", IF(INDEX(Questions!D:D, G40)="Partial", "Partially implemented / incomplete evidence", IF(INDEX(Questions!D:D, G40)="Not Yet", "Not implemented yet", IF(INDEX(Questions!D:D, G40)="", "Not yet answered (treated as Not Yet)", "Pending"))))))</f>
        <v/>
      </c>
      <c r="E40" s="65">
        <f>IF(G40="", "", IF(INDEX(Questions!I:I, G40)="3.5.3", 5, INDEX(Questions!L:L, G40)))</f>
        <v/>
      </c>
      <c r="F40" s="66">
        <f>IF(G40="", "", INDEX(Questions!M:M, G40))</f>
        <v/>
      </c>
      <c r="G40" s="27">
        <f>IFERROR(IF(SMALL(Gap_Slot_Range, ROW()-4)=-1, MATCH("3.12.4", Questions!A:A, 0), SMALL(Gap_Slot_Range, ROW()-4)), "")</f>
        <v/>
      </c>
    </row>
    <row r="41">
      <c r="A41" s="47">
        <f>IF(G41="", "", IF(INDEX(Questions!I:I, G41)="3.5.3", "3.5.3", INDEX(Questions!A:A, G41)))</f>
        <v/>
      </c>
      <c r="B41" s="65">
        <f>IF(G41="", "", INDEX(Questions!N:N, G41))</f>
        <v/>
      </c>
      <c r="C41" s="66">
        <f>IF(G41="", "", IF(INDEX(Questions!A:A, G41)="3.5.3a", "Multi-Factor Authentication — sub-parts failing: " &amp; INDEX(Questions!P:P, G41), INDEX(Questions!B:B, G41)))</f>
        <v/>
      </c>
      <c r="D41" s="66">
        <f>IF(G41="", "", IF(INDEX(Questions!A:A, G41)="3.12.4", "Gate control — score not calculable until SSP exists", IF(INDEX(Questions!A:A, G41)="3.5.3a", "One or more sub-parts not in place", IF(INDEX(Questions!D:D, G41)="Partial", "Partially implemented / incomplete evidence", IF(INDEX(Questions!D:D, G41)="Not Yet", "Not implemented yet", IF(INDEX(Questions!D:D, G41)="", "Not yet answered (treated as Not Yet)", "Pending"))))))</f>
        <v/>
      </c>
      <c r="E41" s="65">
        <f>IF(G41="", "", IF(INDEX(Questions!I:I, G41)="3.5.3", 5, INDEX(Questions!L:L, G41)))</f>
        <v/>
      </c>
      <c r="F41" s="66">
        <f>IF(G41="", "", INDEX(Questions!M:M, G41))</f>
        <v/>
      </c>
      <c r="G41" s="27">
        <f>IFERROR(IF(SMALL(Gap_Slot_Range, ROW()-4)=-1, MATCH("3.12.4", Questions!A:A, 0), SMALL(Gap_Slot_Range, ROW()-4)), "")</f>
        <v/>
      </c>
    </row>
    <row r="42">
      <c r="A42" s="47">
        <f>IF(G42="", "", IF(INDEX(Questions!I:I, G42)="3.5.3", "3.5.3", INDEX(Questions!A:A, G42)))</f>
        <v/>
      </c>
      <c r="B42" s="65">
        <f>IF(G42="", "", INDEX(Questions!N:N, G42))</f>
        <v/>
      </c>
      <c r="C42" s="66">
        <f>IF(G42="", "", IF(INDEX(Questions!A:A, G42)="3.5.3a", "Multi-Factor Authentication — sub-parts failing: " &amp; INDEX(Questions!P:P, G42), INDEX(Questions!B:B, G42)))</f>
        <v/>
      </c>
      <c r="D42" s="66">
        <f>IF(G42="", "", IF(INDEX(Questions!A:A, G42)="3.12.4", "Gate control — score not calculable until SSP exists", IF(INDEX(Questions!A:A, G42)="3.5.3a", "One or more sub-parts not in place", IF(INDEX(Questions!D:D, G42)="Partial", "Partially implemented / incomplete evidence", IF(INDEX(Questions!D:D, G42)="Not Yet", "Not implemented yet", IF(INDEX(Questions!D:D, G42)="", "Not yet answered (treated as Not Yet)", "Pending"))))))</f>
        <v/>
      </c>
      <c r="E42" s="65">
        <f>IF(G42="", "", IF(INDEX(Questions!I:I, G42)="3.5.3", 5, INDEX(Questions!L:L, G42)))</f>
        <v/>
      </c>
      <c r="F42" s="66">
        <f>IF(G42="", "", INDEX(Questions!M:M, G42))</f>
        <v/>
      </c>
      <c r="G42" s="27">
        <f>IFERROR(IF(SMALL(Gap_Slot_Range, ROW()-4)=-1, MATCH("3.12.4", Questions!A:A, 0), SMALL(Gap_Slot_Range, ROW()-4)), "")</f>
        <v/>
      </c>
    </row>
    <row r="43">
      <c r="A43" s="47">
        <f>IF(G43="", "", IF(INDEX(Questions!I:I, G43)="3.5.3", "3.5.3", INDEX(Questions!A:A, G43)))</f>
        <v/>
      </c>
      <c r="B43" s="65">
        <f>IF(G43="", "", INDEX(Questions!N:N, G43))</f>
        <v/>
      </c>
      <c r="C43" s="66">
        <f>IF(G43="", "", IF(INDEX(Questions!A:A, G43)="3.5.3a", "Multi-Factor Authentication — sub-parts failing: " &amp; INDEX(Questions!P:P, G43), INDEX(Questions!B:B, G43)))</f>
        <v/>
      </c>
      <c r="D43" s="66">
        <f>IF(G43="", "", IF(INDEX(Questions!A:A, G43)="3.12.4", "Gate control — score not calculable until SSP exists", IF(INDEX(Questions!A:A, G43)="3.5.3a", "One or more sub-parts not in place", IF(INDEX(Questions!D:D, G43)="Partial", "Partially implemented / incomplete evidence", IF(INDEX(Questions!D:D, G43)="Not Yet", "Not implemented yet", IF(INDEX(Questions!D:D, G43)="", "Not yet answered (treated as Not Yet)", "Pending"))))))</f>
        <v/>
      </c>
      <c r="E43" s="65">
        <f>IF(G43="", "", IF(INDEX(Questions!I:I, G43)="3.5.3", 5, INDEX(Questions!L:L, G43)))</f>
        <v/>
      </c>
      <c r="F43" s="66">
        <f>IF(G43="", "", INDEX(Questions!M:M, G43))</f>
        <v/>
      </c>
      <c r="G43" s="27">
        <f>IFERROR(IF(SMALL(Gap_Slot_Range, ROW()-4)=-1, MATCH("3.12.4", Questions!A:A, 0), SMALL(Gap_Slot_Range, ROW()-4)), "")</f>
        <v/>
      </c>
    </row>
    <row r="44">
      <c r="A44" s="47">
        <f>IF(G44="", "", IF(INDEX(Questions!I:I, G44)="3.5.3", "3.5.3", INDEX(Questions!A:A, G44)))</f>
        <v/>
      </c>
      <c r="B44" s="65">
        <f>IF(G44="", "", INDEX(Questions!N:N, G44))</f>
        <v/>
      </c>
      <c r="C44" s="66">
        <f>IF(G44="", "", IF(INDEX(Questions!A:A, G44)="3.5.3a", "Multi-Factor Authentication — sub-parts failing: " &amp; INDEX(Questions!P:P, G44), INDEX(Questions!B:B, G44)))</f>
        <v/>
      </c>
      <c r="D44" s="66">
        <f>IF(G44="", "", IF(INDEX(Questions!A:A, G44)="3.12.4", "Gate control — score not calculable until SSP exists", IF(INDEX(Questions!A:A, G44)="3.5.3a", "One or more sub-parts not in place", IF(INDEX(Questions!D:D, G44)="Partial", "Partially implemented / incomplete evidence", IF(INDEX(Questions!D:D, G44)="Not Yet", "Not implemented yet", IF(INDEX(Questions!D:D, G44)="", "Not yet answered (treated as Not Yet)", "Pending"))))))</f>
        <v/>
      </c>
      <c r="E44" s="65">
        <f>IF(G44="", "", IF(INDEX(Questions!I:I, G44)="3.5.3", 5, INDEX(Questions!L:L, G44)))</f>
        <v/>
      </c>
      <c r="F44" s="66">
        <f>IF(G44="", "", INDEX(Questions!M:M, G44))</f>
        <v/>
      </c>
      <c r="G44" s="27">
        <f>IFERROR(IF(SMALL(Gap_Slot_Range, ROW()-4)=-1, MATCH("3.12.4", Questions!A:A, 0), SMALL(Gap_Slot_Range, ROW()-4)), "")</f>
        <v/>
      </c>
    </row>
    <row r="45">
      <c r="A45" s="47">
        <f>IF(G45="", "", IF(INDEX(Questions!I:I, G45)="3.5.3", "3.5.3", INDEX(Questions!A:A, G45)))</f>
        <v/>
      </c>
      <c r="B45" s="65">
        <f>IF(G45="", "", INDEX(Questions!N:N, G45))</f>
        <v/>
      </c>
      <c r="C45" s="66">
        <f>IF(G45="", "", IF(INDEX(Questions!A:A, G45)="3.5.3a", "Multi-Factor Authentication — sub-parts failing: " &amp; INDEX(Questions!P:P, G45), INDEX(Questions!B:B, G45)))</f>
        <v/>
      </c>
      <c r="D45" s="66">
        <f>IF(G45="", "", IF(INDEX(Questions!A:A, G45)="3.12.4", "Gate control — score not calculable until SSP exists", IF(INDEX(Questions!A:A, G45)="3.5.3a", "One or more sub-parts not in place", IF(INDEX(Questions!D:D, G45)="Partial", "Partially implemented / incomplete evidence", IF(INDEX(Questions!D:D, G45)="Not Yet", "Not implemented yet", IF(INDEX(Questions!D:D, G45)="", "Not yet answered (treated as Not Yet)", "Pending"))))))</f>
        <v/>
      </c>
      <c r="E45" s="65">
        <f>IF(G45="", "", IF(INDEX(Questions!I:I, G45)="3.5.3", 5, INDEX(Questions!L:L, G45)))</f>
        <v/>
      </c>
      <c r="F45" s="66">
        <f>IF(G45="", "", INDEX(Questions!M:M, G45))</f>
        <v/>
      </c>
      <c r="G45" s="27">
        <f>IFERROR(IF(SMALL(Gap_Slot_Range, ROW()-4)=-1, MATCH("3.12.4", Questions!A:A, 0), SMALL(Gap_Slot_Range, ROW()-4)), "")</f>
        <v/>
      </c>
    </row>
    <row r="46">
      <c r="A46" s="47">
        <f>IF(G46="", "", IF(INDEX(Questions!I:I, G46)="3.5.3", "3.5.3", INDEX(Questions!A:A, G46)))</f>
        <v/>
      </c>
      <c r="B46" s="65">
        <f>IF(G46="", "", INDEX(Questions!N:N, G46))</f>
        <v/>
      </c>
      <c r="C46" s="66">
        <f>IF(G46="", "", IF(INDEX(Questions!A:A, G46)="3.5.3a", "Multi-Factor Authentication — sub-parts failing: " &amp; INDEX(Questions!P:P, G46), INDEX(Questions!B:B, G46)))</f>
        <v/>
      </c>
      <c r="D46" s="66">
        <f>IF(G46="", "", IF(INDEX(Questions!A:A, G46)="3.12.4", "Gate control — score not calculable until SSP exists", IF(INDEX(Questions!A:A, G46)="3.5.3a", "One or more sub-parts not in place", IF(INDEX(Questions!D:D, G46)="Partial", "Partially implemented / incomplete evidence", IF(INDEX(Questions!D:D, G46)="Not Yet", "Not implemented yet", IF(INDEX(Questions!D:D, G46)="", "Not yet answered (treated as Not Yet)", "Pending"))))))</f>
        <v/>
      </c>
      <c r="E46" s="65">
        <f>IF(G46="", "", IF(INDEX(Questions!I:I, G46)="3.5.3", 5, INDEX(Questions!L:L, G46)))</f>
        <v/>
      </c>
      <c r="F46" s="66">
        <f>IF(G46="", "", INDEX(Questions!M:M, G46))</f>
        <v/>
      </c>
      <c r="G46" s="27">
        <f>IFERROR(IF(SMALL(Gap_Slot_Range, ROW()-4)=-1, MATCH("3.12.4", Questions!A:A, 0), SMALL(Gap_Slot_Range, ROW()-4)), "")</f>
        <v/>
      </c>
    </row>
    <row r="47">
      <c r="A47" s="47">
        <f>IF(G47="", "", IF(INDEX(Questions!I:I, G47)="3.5.3", "3.5.3", INDEX(Questions!A:A, G47)))</f>
        <v/>
      </c>
      <c r="B47" s="65">
        <f>IF(G47="", "", INDEX(Questions!N:N, G47))</f>
        <v/>
      </c>
      <c r="C47" s="66">
        <f>IF(G47="", "", IF(INDEX(Questions!A:A, G47)="3.5.3a", "Multi-Factor Authentication — sub-parts failing: " &amp; INDEX(Questions!P:P, G47), INDEX(Questions!B:B, G47)))</f>
        <v/>
      </c>
      <c r="D47" s="66">
        <f>IF(G47="", "", IF(INDEX(Questions!A:A, G47)="3.12.4", "Gate control — score not calculable until SSP exists", IF(INDEX(Questions!A:A, G47)="3.5.3a", "One or more sub-parts not in place", IF(INDEX(Questions!D:D, G47)="Partial", "Partially implemented / incomplete evidence", IF(INDEX(Questions!D:D, G47)="Not Yet", "Not implemented yet", IF(INDEX(Questions!D:D, G47)="", "Not yet answered (treated as Not Yet)", "Pending"))))))</f>
        <v/>
      </c>
      <c r="E47" s="65">
        <f>IF(G47="", "", IF(INDEX(Questions!I:I, G47)="3.5.3", 5, INDEX(Questions!L:L, G47)))</f>
        <v/>
      </c>
      <c r="F47" s="66">
        <f>IF(G47="", "", INDEX(Questions!M:M, G47))</f>
        <v/>
      </c>
      <c r="G47" s="27">
        <f>IFERROR(IF(SMALL(Gap_Slot_Range, ROW()-4)=-1, MATCH("3.12.4", Questions!A:A, 0), SMALL(Gap_Slot_Range, ROW()-4)), "")</f>
        <v/>
      </c>
    </row>
    <row r="48">
      <c r="A48" s="47">
        <f>IF(G48="", "", IF(INDEX(Questions!I:I, G48)="3.5.3", "3.5.3", INDEX(Questions!A:A, G48)))</f>
        <v/>
      </c>
      <c r="B48" s="65">
        <f>IF(G48="", "", INDEX(Questions!N:N, G48))</f>
        <v/>
      </c>
      <c r="C48" s="66">
        <f>IF(G48="", "", IF(INDEX(Questions!A:A, G48)="3.5.3a", "Multi-Factor Authentication — sub-parts failing: " &amp; INDEX(Questions!P:P, G48), INDEX(Questions!B:B, G48)))</f>
        <v/>
      </c>
      <c r="D48" s="66">
        <f>IF(G48="", "", IF(INDEX(Questions!A:A, G48)="3.12.4", "Gate control — score not calculable until SSP exists", IF(INDEX(Questions!A:A, G48)="3.5.3a", "One or more sub-parts not in place", IF(INDEX(Questions!D:D, G48)="Partial", "Partially implemented / incomplete evidence", IF(INDEX(Questions!D:D, G48)="Not Yet", "Not implemented yet", IF(INDEX(Questions!D:D, G48)="", "Not yet answered (treated as Not Yet)", "Pending"))))))</f>
        <v/>
      </c>
      <c r="E48" s="65">
        <f>IF(G48="", "", IF(INDEX(Questions!I:I, G48)="3.5.3", 5, INDEX(Questions!L:L, G48)))</f>
        <v/>
      </c>
      <c r="F48" s="66">
        <f>IF(G48="", "", INDEX(Questions!M:M, G48))</f>
        <v/>
      </c>
      <c r="G48" s="27">
        <f>IFERROR(IF(SMALL(Gap_Slot_Range, ROW()-4)=-1, MATCH("3.12.4", Questions!A:A, 0), SMALL(Gap_Slot_Range, ROW()-4)), "")</f>
        <v/>
      </c>
    </row>
    <row r="49">
      <c r="A49" s="47">
        <f>IF(G49="", "", IF(INDEX(Questions!I:I, G49)="3.5.3", "3.5.3", INDEX(Questions!A:A, G49)))</f>
        <v/>
      </c>
      <c r="B49" s="65">
        <f>IF(G49="", "", INDEX(Questions!N:N, G49))</f>
        <v/>
      </c>
      <c r="C49" s="66">
        <f>IF(G49="", "", IF(INDEX(Questions!A:A, G49)="3.5.3a", "Multi-Factor Authentication — sub-parts failing: " &amp; INDEX(Questions!P:P, G49), INDEX(Questions!B:B, G49)))</f>
        <v/>
      </c>
      <c r="D49" s="66">
        <f>IF(G49="", "", IF(INDEX(Questions!A:A, G49)="3.12.4", "Gate control — score not calculable until SSP exists", IF(INDEX(Questions!A:A, G49)="3.5.3a", "One or more sub-parts not in place", IF(INDEX(Questions!D:D, G49)="Partial", "Partially implemented / incomplete evidence", IF(INDEX(Questions!D:D, G49)="Not Yet", "Not implemented yet", IF(INDEX(Questions!D:D, G49)="", "Not yet answered (treated as Not Yet)", "Pending"))))))</f>
        <v/>
      </c>
      <c r="E49" s="65">
        <f>IF(G49="", "", IF(INDEX(Questions!I:I, G49)="3.5.3", 5, INDEX(Questions!L:L, G49)))</f>
        <v/>
      </c>
      <c r="F49" s="66">
        <f>IF(G49="", "", INDEX(Questions!M:M, G49))</f>
        <v/>
      </c>
      <c r="G49" s="27">
        <f>IFERROR(IF(SMALL(Gap_Slot_Range, ROW()-4)=-1, MATCH("3.12.4", Questions!A:A, 0), SMALL(Gap_Slot_Range, ROW()-4)), "")</f>
        <v/>
      </c>
    </row>
    <row r="50">
      <c r="A50" s="47">
        <f>IF(G50="", "", IF(INDEX(Questions!I:I, G50)="3.5.3", "3.5.3", INDEX(Questions!A:A, G50)))</f>
        <v/>
      </c>
      <c r="B50" s="65">
        <f>IF(G50="", "", INDEX(Questions!N:N, G50))</f>
        <v/>
      </c>
      <c r="C50" s="66">
        <f>IF(G50="", "", IF(INDEX(Questions!A:A, G50)="3.5.3a", "Multi-Factor Authentication — sub-parts failing: " &amp; INDEX(Questions!P:P, G50), INDEX(Questions!B:B, G50)))</f>
        <v/>
      </c>
      <c r="D50" s="66">
        <f>IF(G50="", "", IF(INDEX(Questions!A:A, G50)="3.12.4", "Gate control — score not calculable until SSP exists", IF(INDEX(Questions!A:A, G50)="3.5.3a", "One or more sub-parts not in place", IF(INDEX(Questions!D:D, G50)="Partial", "Partially implemented / incomplete evidence", IF(INDEX(Questions!D:D, G50)="Not Yet", "Not implemented yet", IF(INDEX(Questions!D:D, G50)="", "Not yet answered (treated as Not Yet)", "Pending"))))))</f>
        <v/>
      </c>
      <c r="E50" s="65">
        <f>IF(G50="", "", IF(INDEX(Questions!I:I, G50)="3.5.3", 5, INDEX(Questions!L:L, G50)))</f>
        <v/>
      </c>
      <c r="F50" s="66">
        <f>IF(G50="", "", INDEX(Questions!M:M, G50))</f>
        <v/>
      </c>
      <c r="G50" s="27">
        <f>IFERROR(IF(SMALL(Gap_Slot_Range, ROW()-4)=-1, MATCH("3.12.4", Questions!A:A, 0), SMALL(Gap_Slot_Range, ROW()-4)), "")</f>
        <v/>
      </c>
    </row>
    <row r="51">
      <c r="A51" s="47">
        <f>IF(G51="", "", IF(INDEX(Questions!I:I, G51)="3.5.3", "3.5.3", INDEX(Questions!A:A, G51)))</f>
        <v/>
      </c>
      <c r="B51" s="65">
        <f>IF(G51="", "", INDEX(Questions!N:N, G51))</f>
        <v/>
      </c>
      <c r="C51" s="66">
        <f>IF(G51="", "", IF(INDEX(Questions!A:A, G51)="3.5.3a", "Multi-Factor Authentication — sub-parts failing: " &amp; INDEX(Questions!P:P, G51), INDEX(Questions!B:B, G51)))</f>
        <v/>
      </c>
      <c r="D51" s="66">
        <f>IF(G51="", "", IF(INDEX(Questions!A:A, G51)="3.12.4", "Gate control — score not calculable until SSP exists", IF(INDEX(Questions!A:A, G51)="3.5.3a", "One or more sub-parts not in place", IF(INDEX(Questions!D:D, G51)="Partial", "Partially implemented / incomplete evidence", IF(INDEX(Questions!D:D, G51)="Not Yet", "Not implemented yet", IF(INDEX(Questions!D:D, G51)="", "Not yet answered (treated as Not Yet)", "Pending"))))))</f>
        <v/>
      </c>
      <c r="E51" s="65">
        <f>IF(G51="", "", IF(INDEX(Questions!I:I, G51)="3.5.3", 5, INDEX(Questions!L:L, G51)))</f>
        <v/>
      </c>
      <c r="F51" s="66">
        <f>IF(G51="", "", INDEX(Questions!M:M, G51))</f>
        <v/>
      </c>
      <c r="G51" s="27">
        <f>IFERROR(IF(SMALL(Gap_Slot_Range, ROW()-4)=-1, MATCH("3.12.4", Questions!A:A, 0), SMALL(Gap_Slot_Range, ROW()-4)), "")</f>
        <v/>
      </c>
    </row>
    <row r="52">
      <c r="A52" s="47">
        <f>IF(G52="", "", IF(INDEX(Questions!I:I, G52)="3.5.3", "3.5.3", INDEX(Questions!A:A, G52)))</f>
        <v/>
      </c>
      <c r="B52" s="65">
        <f>IF(G52="", "", INDEX(Questions!N:N, G52))</f>
        <v/>
      </c>
      <c r="C52" s="66">
        <f>IF(G52="", "", IF(INDEX(Questions!A:A, G52)="3.5.3a", "Multi-Factor Authentication — sub-parts failing: " &amp; INDEX(Questions!P:P, G52), INDEX(Questions!B:B, G52)))</f>
        <v/>
      </c>
      <c r="D52" s="66">
        <f>IF(G52="", "", IF(INDEX(Questions!A:A, G52)="3.12.4", "Gate control — score not calculable until SSP exists", IF(INDEX(Questions!A:A, G52)="3.5.3a", "One or more sub-parts not in place", IF(INDEX(Questions!D:D, G52)="Partial", "Partially implemented / incomplete evidence", IF(INDEX(Questions!D:D, G52)="Not Yet", "Not implemented yet", IF(INDEX(Questions!D:D, G52)="", "Not yet answered (treated as Not Yet)", "Pending"))))))</f>
        <v/>
      </c>
      <c r="E52" s="65">
        <f>IF(G52="", "", IF(INDEX(Questions!I:I, G52)="3.5.3", 5, INDEX(Questions!L:L, G52)))</f>
        <v/>
      </c>
      <c r="F52" s="66">
        <f>IF(G52="", "", INDEX(Questions!M:M, G52))</f>
        <v/>
      </c>
      <c r="G52" s="27">
        <f>IFERROR(IF(SMALL(Gap_Slot_Range, ROW()-4)=-1, MATCH("3.12.4", Questions!A:A, 0), SMALL(Gap_Slot_Range, ROW()-4)), "")</f>
        <v/>
      </c>
    </row>
    <row r="53">
      <c r="A53" s="47">
        <f>IF(G53="", "", IF(INDEX(Questions!I:I, G53)="3.5.3", "3.5.3", INDEX(Questions!A:A, G53)))</f>
        <v/>
      </c>
      <c r="B53" s="65">
        <f>IF(G53="", "", INDEX(Questions!N:N, G53))</f>
        <v/>
      </c>
      <c r="C53" s="66">
        <f>IF(G53="", "", IF(INDEX(Questions!A:A, G53)="3.5.3a", "Multi-Factor Authentication — sub-parts failing: " &amp; INDEX(Questions!P:P, G53), INDEX(Questions!B:B, G53)))</f>
        <v/>
      </c>
      <c r="D53" s="66">
        <f>IF(G53="", "", IF(INDEX(Questions!A:A, G53)="3.12.4", "Gate control — score not calculable until SSP exists", IF(INDEX(Questions!A:A, G53)="3.5.3a", "One or more sub-parts not in place", IF(INDEX(Questions!D:D, G53)="Partial", "Partially implemented / incomplete evidence", IF(INDEX(Questions!D:D, G53)="Not Yet", "Not implemented yet", IF(INDEX(Questions!D:D, G53)="", "Not yet answered (treated as Not Yet)", "Pending"))))))</f>
        <v/>
      </c>
      <c r="E53" s="65">
        <f>IF(G53="", "", IF(INDEX(Questions!I:I, G53)="3.5.3", 5, INDEX(Questions!L:L, G53)))</f>
        <v/>
      </c>
      <c r="F53" s="66">
        <f>IF(G53="", "", INDEX(Questions!M:M, G53))</f>
        <v/>
      </c>
      <c r="G53" s="27">
        <f>IFERROR(IF(SMALL(Gap_Slot_Range, ROW()-4)=-1, MATCH("3.12.4", Questions!A:A, 0), SMALL(Gap_Slot_Range, ROW()-4)), "")</f>
        <v/>
      </c>
    </row>
    <row r="54">
      <c r="A54" s="47">
        <f>IF(G54="", "", IF(INDEX(Questions!I:I, G54)="3.5.3", "3.5.3", INDEX(Questions!A:A, G54)))</f>
        <v/>
      </c>
      <c r="B54" s="65">
        <f>IF(G54="", "", INDEX(Questions!N:N, G54))</f>
        <v/>
      </c>
      <c r="C54" s="66">
        <f>IF(G54="", "", IF(INDEX(Questions!A:A, G54)="3.5.3a", "Multi-Factor Authentication — sub-parts failing: " &amp; INDEX(Questions!P:P, G54), INDEX(Questions!B:B, G54)))</f>
        <v/>
      </c>
      <c r="D54" s="66">
        <f>IF(G54="", "", IF(INDEX(Questions!A:A, G54)="3.12.4", "Gate control — score not calculable until SSP exists", IF(INDEX(Questions!A:A, G54)="3.5.3a", "One or more sub-parts not in place", IF(INDEX(Questions!D:D, G54)="Partial", "Partially implemented / incomplete evidence", IF(INDEX(Questions!D:D, G54)="Not Yet", "Not implemented yet", IF(INDEX(Questions!D:D, G54)="", "Not yet answered (treated as Not Yet)", "Pending"))))))</f>
        <v/>
      </c>
      <c r="E54" s="65">
        <f>IF(G54="", "", IF(INDEX(Questions!I:I, G54)="3.5.3", 5, INDEX(Questions!L:L, G54)))</f>
        <v/>
      </c>
      <c r="F54" s="66">
        <f>IF(G54="", "", INDEX(Questions!M:M, G54))</f>
        <v/>
      </c>
      <c r="G54" s="27">
        <f>IFERROR(IF(SMALL(Gap_Slot_Range, ROW()-4)=-1, MATCH("3.12.4", Questions!A:A, 0), SMALL(Gap_Slot_Range, ROW()-4)), "")</f>
        <v/>
      </c>
    </row>
    <row r="55">
      <c r="A55" s="47">
        <f>IF(G55="", "", IF(INDEX(Questions!I:I, G55)="3.5.3", "3.5.3", INDEX(Questions!A:A, G55)))</f>
        <v/>
      </c>
      <c r="B55" s="65">
        <f>IF(G55="", "", INDEX(Questions!N:N, G55))</f>
        <v/>
      </c>
      <c r="C55" s="66">
        <f>IF(G55="", "", IF(INDEX(Questions!A:A, G55)="3.5.3a", "Multi-Factor Authentication — sub-parts failing: " &amp; INDEX(Questions!P:P, G55), INDEX(Questions!B:B, G55)))</f>
        <v/>
      </c>
      <c r="D55" s="66">
        <f>IF(G55="", "", IF(INDEX(Questions!A:A, G55)="3.12.4", "Gate control — score not calculable until SSP exists", IF(INDEX(Questions!A:A, G55)="3.5.3a", "One or more sub-parts not in place", IF(INDEX(Questions!D:D, G55)="Partial", "Partially implemented / incomplete evidence", IF(INDEX(Questions!D:D, G55)="Not Yet", "Not implemented yet", IF(INDEX(Questions!D:D, G55)="", "Not yet answered (treated as Not Yet)", "Pending"))))))</f>
        <v/>
      </c>
      <c r="E55" s="65">
        <f>IF(G55="", "", IF(INDEX(Questions!I:I, G55)="3.5.3", 5, INDEX(Questions!L:L, G55)))</f>
        <v/>
      </c>
      <c r="F55" s="66">
        <f>IF(G55="", "", INDEX(Questions!M:M, G55))</f>
        <v/>
      </c>
      <c r="G55" s="27">
        <f>IFERROR(IF(SMALL(Gap_Slot_Range, ROW()-4)=-1, MATCH("3.12.4", Questions!A:A, 0), SMALL(Gap_Slot_Range, ROW()-4)), "")</f>
        <v/>
      </c>
    </row>
    <row r="56">
      <c r="A56" s="47">
        <f>IF(G56="", "", IF(INDEX(Questions!I:I, G56)="3.5.3", "3.5.3", INDEX(Questions!A:A, G56)))</f>
        <v/>
      </c>
      <c r="B56" s="65">
        <f>IF(G56="", "", INDEX(Questions!N:N, G56))</f>
        <v/>
      </c>
      <c r="C56" s="66">
        <f>IF(G56="", "", IF(INDEX(Questions!A:A, G56)="3.5.3a", "Multi-Factor Authentication — sub-parts failing: " &amp; INDEX(Questions!P:P, G56), INDEX(Questions!B:B, G56)))</f>
        <v/>
      </c>
      <c r="D56" s="66">
        <f>IF(G56="", "", IF(INDEX(Questions!A:A, G56)="3.12.4", "Gate control — score not calculable until SSP exists", IF(INDEX(Questions!A:A, G56)="3.5.3a", "One or more sub-parts not in place", IF(INDEX(Questions!D:D, G56)="Partial", "Partially implemented / incomplete evidence", IF(INDEX(Questions!D:D, G56)="Not Yet", "Not implemented yet", IF(INDEX(Questions!D:D, G56)="", "Not yet answered (treated as Not Yet)", "Pending"))))))</f>
        <v/>
      </c>
      <c r="E56" s="65">
        <f>IF(G56="", "", IF(INDEX(Questions!I:I, G56)="3.5.3", 5, INDEX(Questions!L:L, G56)))</f>
        <v/>
      </c>
      <c r="F56" s="66">
        <f>IF(G56="", "", INDEX(Questions!M:M, G56))</f>
        <v/>
      </c>
      <c r="G56" s="27">
        <f>IFERROR(IF(SMALL(Gap_Slot_Range, ROW()-4)=-1, MATCH("3.12.4", Questions!A:A, 0), SMALL(Gap_Slot_Range, ROW()-4)), "")</f>
        <v/>
      </c>
    </row>
    <row r="57">
      <c r="A57" s="47">
        <f>IF(G57="", "", IF(INDEX(Questions!I:I, G57)="3.5.3", "3.5.3", INDEX(Questions!A:A, G57)))</f>
        <v/>
      </c>
      <c r="B57" s="65">
        <f>IF(G57="", "", INDEX(Questions!N:N, G57))</f>
        <v/>
      </c>
      <c r="C57" s="66">
        <f>IF(G57="", "", IF(INDEX(Questions!A:A, G57)="3.5.3a", "Multi-Factor Authentication — sub-parts failing: " &amp; INDEX(Questions!P:P, G57), INDEX(Questions!B:B, G57)))</f>
        <v/>
      </c>
      <c r="D57" s="66">
        <f>IF(G57="", "", IF(INDEX(Questions!A:A, G57)="3.12.4", "Gate control — score not calculable until SSP exists", IF(INDEX(Questions!A:A, G57)="3.5.3a", "One or more sub-parts not in place", IF(INDEX(Questions!D:D, G57)="Partial", "Partially implemented / incomplete evidence", IF(INDEX(Questions!D:D, G57)="Not Yet", "Not implemented yet", IF(INDEX(Questions!D:D, G57)="", "Not yet answered (treated as Not Yet)", "Pending"))))))</f>
        <v/>
      </c>
      <c r="E57" s="65">
        <f>IF(G57="", "", IF(INDEX(Questions!I:I, G57)="3.5.3", 5, INDEX(Questions!L:L, G57)))</f>
        <v/>
      </c>
      <c r="F57" s="66">
        <f>IF(G57="", "", INDEX(Questions!M:M, G57))</f>
        <v/>
      </c>
      <c r="G57" s="27">
        <f>IFERROR(IF(SMALL(Gap_Slot_Range, ROW()-4)=-1, MATCH("3.12.4", Questions!A:A, 0), SMALL(Gap_Slot_Range, ROW()-4)), "")</f>
        <v/>
      </c>
    </row>
    <row r="58">
      <c r="A58" s="47">
        <f>IF(G58="", "", IF(INDEX(Questions!I:I, G58)="3.5.3", "3.5.3", INDEX(Questions!A:A, G58)))</f>
        <v/>
      </c>
      <c r="B58" s="65">
        <f>IF(G58="", "", INDEX(Questions!N:N, G58))</f>
        <v/>
      </c>
      <c r="C58" s="66">
        <f>IF(G58="", "", IF(INDEX(Questions!A:A, G58)="3.5.3a", "Multi-Factor Authentication — sub-parts failing: " &amp; INDEX(Questions!P:P, G58), INDEX(Questions!B:B, G58)))</f>
        <v/>
      </c>
      <c r="D58" s="66">
        <f>IF(G58="", "", IF(INDEX(Questions!A:A, G58)="3.12.4", "Gate control — score not calculable until SSP exists", IF(INDEX(Questions!A:A, G58)="3.5.3a", "One or more sub-parts not in place", IF(INDEX(Questions!D:D, G58)="Partial", "Partially implemented / incomplete evidence", IF(INDEX(Questions!D:D, G58)="Not Yet", "Not implemented yet", IF(INDEX(Questions!D:D, G58)="", "Not yet answered (treated as Not Yet)", "Pending"))))))</f>
        <v/>
      </c>
      <c r="E58" s="65">
        <f>IF(G58="", "", IF(INDEX(Questions!I:I, G58)="3.5.3", 5, INDEX(Questions!L:L, G58)))</f>
        <v/>
      </c>
      <c r="F58" s="66">
        <f>IF(G58="", "", INDEX(Questions!M:M, G58))</f>
        <v/>
      </c>
      <c r="G58" s="27">
        <f>IFERROR(IF(SMALL(Gap_Slot_Range, ROW()-4)=-1, MATCH("3.12.4", Questions!A:A, 0), SMALL(Gap_Slot_Range, ROW()-4)), "")</f>
        <v/>
      </c>
    </row>
    <row r="59">
      <c r="A59" s="47">
        <f>IF(G59="", "", IF(INDEX(Questions!I:I, G59)="3.5.3", "3.5.3", INDEX(Questions!A:A, G59)))</f>
        <v/>
      </c>
      <c r="B59" s="65">
        <f>IF(G59="", "", INDEX(Questions!N:N, G59))</f>
        <v/>
      </c>
      <c r="C59" s="66">
        <f>IF(G59="", "", IF(INDEX(Questions!A:A, G59)="3.5.3a", "Multi-Factor Authentication — sub-parts failing: " &amp; INDEX(Questions!P:P, G59), INDEX(Questions!B:B, G59)))</f>
        <v/>
      </c>
      <c r="D59" s="66">
        <f>IF(G59="", "", IF(INDEX(Questions!A:A, G59)="3.12.4", "Gate control — score not calculable until SSP exists", IF(INDEX(Questions!A:A, G59)="3.5.3a", "One or more sub-parts not in place", IF(INDEX(Questions!D:D, G59)="Partial", "Partially implemented / incomplete evidence", IF(INDEX(Questions!D:D, G59)="Not Yet", "Not implemented yet", IF(INDEX(Questions!D:D, G59)="", "Not yet answered (treated as Not Yet)", "Pending"))))))</f>
        <v/>
      </c>
      <c r="E59" s="65">
        <f>IF(G59="", "", IF(INDEX(Questions!I:I, G59)="3.5.3", 5, INDEX(Questions!L:L, G59)))</f>
        <v/>
      </c>
      <c r="F59" s="66">
        <f>IF(G59="", "", INDEX(Questions!M:M, G59))</f>
        <v/>
      </c>
      <c r="G59" s="27">
        <f>IFERROR(IF(SMALL(Gap_Slot_Range, ROW()-4)=-1, MATCH("3.12.4", Questions!A:A, 0), SMALL(Gap_Slot_Range, ROW()-4)), "")</f>
        <v/>
      </c>
    </row>
    <row r="60">
      <c r="A60" s="47">
        <f>IF(G60="", "", IF(INDEX(Questions!I:I, G60)="3.5.3", "3.5.3", INDEX(Questions!A:A, G60)))</f>
        <v/>
      </c>
      <c r="B60" s="65">
        <f>IF(G60="", "", INDEX(Questions!N:N, G60))</f>
        <v/>
      </c>
      <c r="C60" s="66">
        <f>IF(G60="", "", IF(INDEX(Questions!A:A, G60)="3.5.3a", "Multi-Factor Authentication — sub-parts failing: " &amp; INDEX(Questions!P:P, G60), INDEX(Questions!B:B, G60)))</f>
        <v/>
      </c>
      <c r="D60" s="66">
        <f>IF(G60="", "", IF(INDEX(Questions!A:A, G60)="3.12.4", "Gate control — score not calculable until SSP exists", IF(INDEX(Questions!A:A, G60)="3.5.3a", "One or more sub-parts not in place", IF(INDEX(Questions!D:D, G60)="Partial", "Partially implemented / incomplete evidence", IF(INDEX(Questions!D:D, G60)="Not Yet", "Not implemented yet", IF(INDEX(Questions!D:D, G60)="", "Not yet answered (treated as Not Yet)", "Pending"))))))</f>
        <v/>
      </c>
      <c r="E60" s="65">
        <f>IF(G60="", "", IF(INDEX(Questions!I:I, G60)="3.5.3", 5, INDEX(Questions!L:L, G60)))</f>
        <v/>
      </c>
      <c r="F60" s="66">
        <f>IF(G60="", "", INDEX(Questions!M:M, G60))</f>
        <v/>
      </c>
      <c r="G60" s="27">
        <f>IFERROR(IF(SMALL(Gap_Slot_Range, ROW()-4)=-1, MATCH("3.12.4", Questions!A:A, 0), SMALL(Gap_Slot_Range, ROW()-4)), "")</f>
        <v/>
      </c>
    </row>
    <row r="61">
      <c r="A61" s="47">
        <f>IF(G61="", "", IF(INDEX(Questions!I:I, G61)="3.5.3", "3.5.3", INDEX(Questions!A:A, G61)))</f>
        <v/>
      </c>
      <c r="B61" s="65">
        <f>IF(G61="", "", INDEX(Questions!N:N, G61))</f>
        <v/>
      </c>
      <c r="C61" s="66">
        <f>IF(G61="", "", IF(INDEX(Questions!A:A, G61)="3.5.3a", "Multi-Factor Authentication — sub-parts failing: " &amp; INDEX(Questions!P:P, G61), INDEX(Questions!B:B, G61)))</f>
        <v/>
      </c>
      <c r="D61" s="66">
        <f>IF(G61="", "", IF(INDEX(Questions!A:A, G61)="3.12.4", "Gate control — score not calculable until SSP exists", IF(INDEX(Questions!A:A, G61)="3.5.3a", "One or more sub-parts not in place", IF(INDEX(Questions!D:D, G61)="Partial", "Partially implemented / incomplete evidence", IF(INDEX(Questions!D:D, G61)="Not Yet", "Not implemented yet", IF(INDEX(Questions!D:D, G61)="", "Not yet answered (treated as Not Yet)", "Pending"))))))</f>
        <v/>
      </c>
      <c r="E61" s="65">
        <f>IF(G61="", "", IF(INDEX(Questions!I:I, G61)="3.5.3", 5, INDEX(Questions!L:L, G61)))</f>
        <v/>
      </c>
      <c r="F61" s="66">
        <f>IF(G61="", "", INDEX(Questions!M:M, G61))</f>
        <v/>
      </c>
      <c r="G61" s="27">
        <f>IFERROR(IF(SMALL(Gap_Slot_Range, ROW()-4)=-1, MATCH("3.12.4", Questions!A:A, 0), SMALL(Gap_Slot_Range, ROW()-4)), "")</f>
        <v/>
      </c>
    </row>
    <row r="62">
      <c r="A62" s="47">
        <f>IF(G62="", "", IF(INDEX(Questions!I:I, G62)="3.5.3", "3.5.3", INDEX(Questions!A:A, G62)))</f>
        <v/>
      </c>
      <c r="B62" s="65">
        <f>IF(G62="", "", INDEX(Questions!N:N, G62))</f>
        <v/>
      </c>
      <c r="C62" s="66">
        <f>IF(G62="", "", IF(INDEX(Questions!A:A, G62)="3.5.3a", "Multi-Factor Authentication — sub-parts failing: " &amp; INDEX(Questions!P:P, G62), INDEX(Questions!B:B, G62)))</f>
        <v/>
      </c>
      <c r="D62" s="66">
        <f>IF(G62="", "", IF(INDEX(Questions!A:A, G62)="3.12.4", "Gate control — score not calculable until SSP exists", IF(INDEX(Questions!A:A, G62)="3.5.3a", "One or more sub-parts not in place", IF(INDEX(Questions!D:D, G62)="Partial", "Partially implemented / incomplete evidence", IF(INDEX(Questions!D:D, G62)="Not Yet", "Not implemented yet", IF(INDEX(Questions!D:D, G62)="", "Not yet answered (treated as Not Yet)", "Pending"))))))</f>
        <v/>
      </c>
      <c r="E62" s="65">
        <f>IF(G62="", "", IF(INDEX(Questions!I:I, G62)="3.5.3", 5, INDEX(Questions!L:L, G62)))</f>
        <v/>
      </c>
      <c r="F62" s="66">
        <f>IF(G62="", "", INDEX(Questions!M:M, G62))</f>
        <v/>
      </c>
      <c r="G62" s="27">
        <f>IFERROR(IF(SMALL(Gap_Slot_Range, ROW()-4)=-1, MATCH("3.12.4", Questions!A:A, 0), SMALL(Gap_Slot_Range, ROW()-4)), "")</f>
        <v/>
      </c>
    </row>
    <row r="63">
      <c r="A63" s="47">
        <f>IF(G63="", "", IF(INDEX(Questions!I:I, G63)="3.5.3", "3.5.3", INDEX(Questions!A:A, G63)))</f>
        <v/>
      </c>
      <c r="B63" s="65">
        <f>IF(G63="", "", INDEX(Questions!N:N, G63))</f>
        <v/>
      </c>
      <c r="C63" s="66">
        <f>IF(G63="", "", IF(INDEX(Questions!A:A, G63)="3.5.3a", "Multi-Factor Authentication — sub-parts failing: " &amp; INDEX(Questions!P:P, G63), INDEX(Questions!B:B, G63)))</f>
        <v/>
      </c>
      <c r="D63" s="66">
        <f>IF(G63="", "", IF(INDEX(Questions!A:A, G63)="3.12.4", "Gate control — score not calculable until SSP exists", IF(INDEX(Questions!A:A, G63)="3.5.3a", "One or more sub-parts not in place", IF(INDEX(Questions!D:D, G63)="Partial", "Partially implemented / incomplete evidence", IF(INDEX(Questions!D:D, G63)="Not Yet", "Not implemented yet", IF(INDEX(Questions!D:D, G63)="", "Not yet answered (treated as Not Yet)", "Pending"))))))</f>
        <v/>
      </c>
      <c r="E63" s="65">
        <f>IF(G63="", "", IF(INDEX(Questions!I:I, G63)="3.5.3", 5, INDEX(Questions!L:L, G63)))</f>
        <v/>
      </c>
      <c r="F63" s="66">
        <f>IF(G63="", "", INDEX(Questions!M:M, G63))</f>
        <v/>
      </c>
      <c r="G63" s="27">
        <f>IFERROR(IF(SMALL(Gap_Slot_Range, ROW()-4)=-1, MATCH("3.12.4", Questions!A:A, 0), SMALL(Gap_Slot_Range, ROW()-4)), "")</f>
        <v/>
      </c>
    </row>
    <row r="64">
      <c r="A64" s="47">
        <f>IF(G64="", "", IF(INDEX(Questions!I:I, G64)="3.5.3", "3.5.3", INDEX(Questions!A:A, G64)))</f>
        <v/>
      </c>
      <c r="B64" s="65">
        <f>IF(G64="", "", INDEX(Questions!N:N, G64))</f>
        <v/>
      </c>
      <c r="C64" s="66">
        <f>IF(G64="", "", IF(INDEX(Questions!A:A, G64)="3.5.3a", "Multi-Factor Authentication — sub-parts failing: " &amp; INDEX(Questions!P:P, G64), INDEX(Questions!B:B, G64)))</f>
        <v/>
      </c>
      <c r="D64" s="66">
        <f>IF(G64="", "", IF(INDEX(Questions!A:A, G64)="3.12.4", "Gate control — score not calculable until SSP exists", IF(INDEX(Questions!A:A, G64)="3.5.3a", "One or more sub-parts not in place", IF(INDEX(Questions!D:D, G64)="Partial", "Partially implemented / incomplete evidence", IF(INDEX(Questions!D:D, G64)="Not Yet", "Not implemented yet", IF(INDEX(Questions!D:D, G64)="", "Not yet answered (treated as Not Yet)", "Pending"))))))</f>
        <v/>
      </c>
      <c r="E64" s="65">
        <f>IF(G64="", "", IF(INDEX(Questions!I:I, G64)="3.5.3", 5, INDEX(Questions!L:L, G64)))</f>
        <v/>
      </c>
      <c r="F64" s="66">
        <f>IF(G64="", "", INDEX(Questions!M:M, G64))</f>
        <v/>
      </c>
      <c r="G64" s="27">
        <f>IFERROR(IF(SMALL(Gap_Slot_Range, ROW()-4)=-1, MATCH("3.12.4", Questions!A:A, 0), SMALL(Gap_Slot_Range, ROW()-4)), "")</f>
        <v/>
      </c>
    </row>
    <row r="65">
      <c r="A65" s="47">
        <f>IF(G65="", "", IF(INDEX(Questions!I:I, G65)="3.5.3", "3.5.3", INDEX(Questions!A:A, G65)))</f>
        <v/>
      </c>
      <c r="B65" s="65">
        <f>IF(G65="", "", INDEX(Questions!N:N, G65))</f>
        <v/>
      </c>
      <c r="C65" s="66">
        <f>IF(G65="", "", IF(INDEX(Questions!A:A, G65)="3.5.3a", "Multi-Factor Authentication — sub-parts failing: " &amp; INDEX(Questions!P:P, G65), INDEX(Questions!B:B, G65)))</f>
        <v/>
      </c>
      <c r="D65" s="66">
        <f>IF(G65="", "", IF(INDEX(Questions!A:A, G65)="3.12.4", "Gate control — score not calculable until SSP exists", IF(INDEX(Questions!A:A, G65)="3.5.3a", "One or more sub-parts not in place", IF(INDEX(Questions!D:D, G65)="Partial", "Partially implemented / incomplete evidence", IF(INDEX(Questions!D:D, G65)="Not Yet", "Not implemented yet", IF(INDEX(Questions!D:D, G65)="", "Not yet answered (treated as Not Yet)", "Pending"))))))</f>
        <v/>
      </c>
      <c r="E65" s="65">
        <f>IF(G65="", "", IF(INDEX(Questions!I:I, G65)="3.5.3", 5, INDEX(Questions!L:L, G65)))</f>
        <v/>
      </c>
      <c r="F65" s="66">
        <f>IF(G65="", "", INDEX(Questions!M:M, G65))</f>
        <v/>
      </c>
      <c r="G65" s="27">
        <f>IFERROR(IF(SMALL(Gap_Slot_Range, ROW()-4)=-1, MATCH("3.12.4", Questions!A:A, 0), SMALL(Gap_Slot_Range, ROW()-4)), "")</f>
        <v/>
      </c>
    </row>
    <row r="66">
      <c r="A66" s="47">
        <f>IF(G66="", "", IF(INDEX(Questions!I:I, G66)="3.5.3", "3.5.3", INDEX(Questions!A:A, G66)))</f>
        <v/>
      </c>
      <c r="B66" s="65">
        <f>IF(G66="", "", INDEX(Questions!N:N, G66))</f>
        <v/>
      </c>
      <c r="C66" s="66">
        <f>IF(G66="", "", IF(INDEX(Questions!A:A, G66)="3.5.3a", "Multi-Factor Authentication — sub-parts failing: " &amp; INDEX(Questions!P:P, G66), INDEX(Questions!B:B, G66)))</f>
        <v/>
      </c>
      <c r="D66" s="66">
        <f>IF(G66="", "", IF(INDEX(Questions!A:A, G66)="3.12.4", "Gate control — score not calculable until SSP exists", IF(INDEX(Questions!A:A, G66)="3.5.3a", "One or more sub-parts not in place", IF(INDEX(Questions!D:D, G66)="Partial", "Partially implemented / incomplete evidence", IF(INDEX(Questions!D:D, G66)="Not Yet", "Not implemented yet", IF(INDEX(Questions!D:D, G66)="", "Not yet answered (treated as Not Yet)", "Pending"))))))</f>
        <v/>
      </c>
      <c r="E66" s="65">
        <f>IF(G66="", "", IF(INDEX(Questions!I:I, G66)="3.5.3", 5, INDEX(Questions!L:L, G66)))</f>
        <v/>
      </c>
      <c r="F66" s="66">
        <f>IF(G66="", "", INDEX(Questions!M:M, G66))</f>
        <v/>
      </c>
      <c r="G66" s="27">
        <f>IFERROR(IF(SMALL(Gap_Slot_Range, ROW()-4)=-1, MATCH("3.12.4", Questions!A:A, 0), SMALL(Gap_Slot_Range, ROW()-4)), "")</f>
        <v/>
      </c>
    </row>
    <row r="67">
      <c r="A67" s="47">
        <f>IF(G67="", "", IF(INDEX(Questions!I:I, G67)="3.5.3", "3.5.3", INDEX(Questions!A:A, G67)))</f>
        <v/>
      </c>
      <c r="B67" s="65">
        <f>IF(G67="", "", INDEX(Questions!N:N, G67))</f>
        <v/>
      </c>
      <c r="C67" s="66">
        <f>IF(G67="", "", IF(INDEX(Questions!A:A, G67)="3.5.3a", "Multi-Factor Authentication — sub-parts failing: " &amp; INDEX(Questions!P:P, G67), INDEX(Questions!B:B, G67)))</f>
        <v/>
      </c>
      <c r="D67" s="66">
        <f>IF(G67="", "", IF(INDEX(Questions!A:A, G67)="3.12.4", "Gate control — score not calculable until SSP exists", IF(INDEX(Questions!A:A, G67)="3.5.3a", "One or more sub-parts not in place", IF(INDEX(Questions!D:D, G67)="Partial", "Partially implemented / incomplete evidence", IF(INDEX(Questions!D:D, G67)="Not Yet", "Not implemented yet", IF(INDEX(Questions!D:D, G67)="", "Not yet answered (treated as Not Yet)", "Pending"))))))</f>
        <v/>
      </c>
      <c r="E67" s="65">
        <f>IF(G67="", "", IF(INDEX(Questions!I:I, G67)="3.5.3", 5, INDEX(Questions!L:L, G67)))</f>
        <v/>
      </c>
      <c r="F67" s="66">
        <f>IF(G67="", "", INDEX(Questions!M:M, G67))</f>
        <v/>
      </c>
      <c r="G67" s="27">
        <f>IFERROR(IF(SMALL(Gap_Slot_Range, ROW()-4)=-1, MATCH("3.12.4", Questions!A:A, 0), SMALL(Gap_Slot_Range, ROW()-4)), "")</f>
        <v/>
      </c>
    </row>
    <row r="68">
      <c r="A68" s="47">
        <f>IF(G68="", "", IF(INDEX(Questions!I:I, G68)="3.5.3", "3.5.3", INDEX(Questions!A:A, G68)))</f>
        <v/>
      </c>
      <c r="B68" s="65">
        <f>IF(G68="", "", INDEX(Questions!N:N, G68))</f>
        <v/>
      </c>
      <c r="C68" s="66">
        <f>IF(G68="", "", IF(INDEX(Questions!A:A, G68)="3.5.3a", "Multi-Factor Authentication — sub-parts failing: " &amp; INDEX(Questions!P:P, G68), INDEX(Questions!B:B, G68)))</f>
        <v/>
      </c>
      <c r="D68" s="66">
        <f>IF(G68="", "", IF(INDEX(Questions!A:A, G68)="3.12.4", "Gate control — score not calculable until SSP exists", IF(INDEX(Questions!A:A, G68)="3.5.3a", "One or more sub-parts not in place", IF(INDEX(Questions!D:D, G68)="Partial", "Partially implemented / incomplete evidence", IF(INDEX(Questions!D:D, G68)="Not Yet", "Not implemented yet", IF(INDEX(Questions!D:D, G68)="", "Not yet answered (treated as Not Yet)", "Pending"))))))</f>
        <v/>
      </c>
      <c r="E68" s="65">
        <f>IF(G68="", "", IF(INDEX(Questions!I:I, G68)="3.5.3", 5, INDEX(Questions!L:L, G68)))</f>
        <v/>
      </c>
      <c r="F68" s="66">
        <f>IF(G68="", "", INDEX(Questions!M:M, G68))</f>
        <v/>
      </c>
      <c r="G68" s="27">
        <f>IFERROR(IF(SMALL(Gap_Slot_Range, ROW()-4)=-1, MATCH("3.12.4", Questions!A:A, 0), SMALL(Gap_Slot_Range, ROW()-4)), "")</f>
        <v/>
      </c>
    </row>
    <row r="69">
      <c r="A69" s="47">
        <f>IF(G69="", "", IF(INDEX(Questions!I:I, G69)="3.5.3", "3.5.3", INDEX(Questions!A:A, G69)))</f>
        <v/>
      </c>
      <c r="B69" s="65">
        <f>IF(G69="", "", INDEX(Questions!N:N, G69))</f>
        <v/>
      </c>
      <c r="C69" s="66">
        <f>IF(G69="", "", IF(INDEX(Questions!A:A, G69)="3.5.3a", "Multi-Factor Authentication — sub-parts failing: " &amp; INDEX(Questions!P:P, G69), INDEX(Questions!B:B, G69)))</f>
        <v/>
      </c>
      <c r="D69" s="66">
        <f>IF(G69="", "", IF(INDEX(Questions!A:A, G69)="3.12.4", "Gate control — score not calculable until SSP exists", IF(INDEX(Questions!A:A, G69)="3.5.3a", "One or more sub-parts not in place", IF(INDEX(Questions!D:D, G69)="Partial", "Partially implemented / incomplete evidence", IF(INDEX(Questions!D:D, G69)="Not Yet", "Not implemented yet", IF(INDEX(Questions!D:D, G69)="", "Not yet answered (treated as Not Yet)", "Pending"))))))</f>
        <v/>
      </c>
      <c r="E69" s="65">
        <f>IF(G69="", "", IF(INDEX(Questions!I:I, G69)="3.5.3", 5, INDEX(Questions!L:L, G69)))</f>
        <v/>
      </c>
      <c r="F69" s="66">
        <f>IF(G69="", "", INDEX(Questions!M:M, G69))</f>
        <v/>
      </c>
      <c r="G69" s="27">
        <f>IFERROR(IF(SMALL(Gap_Slot_Range, ROW()-4)=-1, MATCH("3.12.4", Questions!A:A, 0), SMALL(Gap_Slot_Range, ROW()-4)), "")</f>
        <v/>
      </c>
    </row>
    <row r="70">
      <c r="A70" s="47">
        <f>IF(G70="", "", IF(INDEX(Questions!I:I, G70)="3.5.3", "3.5.3", INDEX(Questions!A:A, G70)))</f>
        <v/>
      </c>
      <c r="B70" s="65">
        <f>IF(G70="", "", INDEX(Questions!N:N, G70))</f>
        <v/>
      </c>
      <c r="C70" s="66">
        <f>IF(G70="", "", IF(INDEX(Questions!A:A, G70)="3.5.3a", "Multi-Factor Authentication — sub-parts failing: " &amp; INDEX(Questions!P:P, G70), INDEX(Questions!B:B, G70)))</f>
        <v/>
      </c>
      <c r="D70" s="66">
        <f>IF(G70="", "", IF(INDEX(Questions!A:A, G70)="3.12.4", "Gate control — score not calculable until SSP exists", IF(INDEX(Questions!A:A, G70)="3.5.3a", "One or more sub-parts not in place", IF(INDEX(Questions!D:D, G70)="Partial", "Partially implemented / incomplete evidence", IF(INDEX(Questions!D:D, G70)="Not Yet", "Not implemented yet", IF(INDEX(Questions!D:D, G70)="", "Not yet answered (treated as Not Yet)", "Pending"))))))</f>
        <v/>
      </c>
      <c r="E70" s="65">
        <f>IF(G70="", "", IF(INDEX(Questions!I:I, G70)="3.5.3", 5, INDEX(Questions!L:L, G70)))</f>
        <v/>
      </c>
      <c r="F70" s="66">
        <f>IF(G70="", "", INDEX(Questions!M:M, G70))</f>
        <v/>
      </c>
      <c r="G70" s="27">
        <f>IFERROR(IF(SMALL(Gap_Slot_Range, ROW()-4)=-1, MATCH("3.12.4", Questions!A:A, 0), SMALL(Gap_Slot_Range, ROW()-4)), "")</f>
        <v/>
      </c>
    </row>
    <row r="71">
      <c r="A71" s="47">
        <f>IF(G71="", "", IF(INDEX(Questions!I:I, G71)="3.5.3", "3.5.3", INDEX(Questions!A:A, G71)))</f>
        <v/>
      </c>
      <c r="B71" s="65">
        <f>IF(G71="", "", INDEX(Questions!N:N, G71))</f>
        <v/>
      </c>
      <c r="C71" s="66">
        <f>IF(G71="", "", IF(INDEX(Questions!A:A, G71)="3.5.3a", "Multi-Factor Authentication — sub-parts failing: " &amp; INDEX(Questions!P:P, G71), INDEX(Questions!B:B, G71)))</f>
        <v/>
      </c>
      <c r="D71" s="66">
        <f>IF(G71="", "", IF(INDEX(Questions!A:A, G71)="3.12.4", "Gate control — score not calculable until SSP exists", IF(INDEX(Questions!A:A, G71)="3.5.3a", "One or more sub-parts not in place", IF(INDEX(Questions!D:D, G71)="Partial", "Partially implemented / incomplete evidence", IF(INDEX(Questions!D:D, G71)="Not Yet", "Not implemented yet", IF(INDEX(Questions!D:D, G71)="", "Not yet answered (treated as Not Yet)", "Pending"))))))</f>
        <v/>
      </c>
      <c r="E71" s="65">
        <f>IF(G71="", "", IF(INDEX(Questions!I:I, G71)="3.5.3", 5, INDEX(Questions!L:L, G71)))</f>
        <v/>
      </c>
      <c r="F71" s="66">
        <f>IF(G71="", "", INDEX(Questions!M:M, G71))</f>
        <v/>
      </c>
      <c r="G71" s="27">
        <f>IFERROR(IF(SMALL(Gap_Slot_Range, ROW()-4)=-1, MATCH("3.12.4", Questions!A:A, 0), SMALL(Gap_Slot_Range, ROW()-4)), "")</f>
        <v/>
      </c>
    </row>
    <row r="72">
      <c r="A72" s="47">
        <f>IF(G72="", "", IF(INDEX(Questions!I:I, G72)="3.5.3", "3.5.3", INDEX(Questions!A:A, G72)))</f>
        <v/>
      </c>
      <c r="B72" s="65">
        <f>IF(G72="", "", INDEX(Questions!N:N, G72))</f>
        <v/>
      </c>
      <c r="C72" s="66">
        <f>IF(G72="", "", IF(INDEX(Questions!A:A, G72)="3.5.3a", "Multi-Factor Authentication — sub-parts failing: " &amp; INDEX(Questions!P:P, G72), INDEX(Questions!B:B, G72)))</f>
        <v/>
      </c>
      <c r="D72" s="66">
        <f>IF(G72="", "", IF(INDEX(Questions!A:A, G72)="3.12.4", "Gate control — score not calculable until SSP exists", IF(INDEX(Questions!A:A, G72)="3.5.3a", "One or more sub-parts not in place", IF(INDEX(Questions!D:D, G72)="Partial", "Partially implemented / incomplete evidence", IF(INDEX(Questions!D:D, G72)="Not Yet", "Not implemented yet", IF(INDEX(Questions!D:D, G72)="", "Not yet answered (treated as Not Yet)", "Pending"))))))</f>
        <v/>
      </c>
      <c r="E72" s="65">
        <f>IF(G72="", "", IF(INDEX(Questions!I:I, G72)="3.5.3", 5, INDEX(Questions!L:L, G72)))</f>
        <v/>
      </c>
      <c r="F72" s="66">
        <f>IF(G72="", "", INDEX(Questions!M:M, G72))</f>
        <v/>
      </c>
      <c r="G72" s="27">
        <f>IFERROR(IF(SMALL(Gap_Slot_Range, ROW()-4)=-1, MATCH("3.12.4", Questions!A:A, 0), SMALL(Gap_Slot_Range, ROW()-4)), "")</f>
        <v/>
      </c>
    </row>
    <row r="73">
      <c r="A73" s="47">
        <f>IF(G73="", "", IF(INDEX(Questions!I:I, G73)="3.5.3", "3.5.3", INDEX(Questions!A:A, G73)))</f>
        <v/>
      </c>
      <c r="B73" s="65">
        <f>IF(G73="", "", INDEX(Questions!N:N, G73))</f>
        <v/>
      </c>
      <c r="C73" s="66">
        <f>IF(G73="", "", IF(INDEX(Questions!A:A, G73)="3.5.3a", "Multi-Factor Authentication — sub-parts failing: " &amp; INDEX(Questions!P:P, G73), INDEX(Questions!B:B, G73)))</f>
        <v/>
      </c>
      <c r="D73" s="66">
        <f>IF(G73="", "", IF(INDEX(Questions!A:A, G73)="3.12.4", "Gate control — score not calculable until SSP exists", IF(INDEX(Questions!A:A, G73)="3.5.3a", "One or more sub-parts not in place", IF(INDEX(Questions!D:D, G73)="Partial", "Partially implemented / incomplete evidence", IF(INDEX(Questions!D:D, G73)="Not Yet", "Not implemented yet", IF(INDEX(Questions!D:D, G73)="", "Not yet answered (treated as Not Yet)", "Pending"))))))</f>
        <v/>
      </c>
      <c r="E73" s="65">
        <f>IF(G73="", "", IF(INDEX(Questions!I:I, G73)="3.5.3", 5, INDEX(Questions!L:L, G73)))</f>
        <v/>
      </c>
      <c r="F73" s="66">
        <f>IF(G73="", "", INDEX(Questions!M:M, G73))</f>
        <v/>
      </c>
      <c r="G73" s="27">
        <f>IFERROR(IF(SMALL(Gap_Slot_Range, ROW()-4)=-1, MATCH("3.12.4", Questions!A:A, 0), SMALL(Gap_Slot_Range, ROW()-4)), "")</f>
        <v/>
      </c>
    </row>
    <row r="74">
      <c r="A74" s="47">
        <f>IF(G74="", "", IF(INDEX(Questions!I:I, G74)="3.5.3", "3.5.3", INDEX(Questions!A:A, G74)))</f>
        <v/>
      </c>
      <c r="B74" s="65">
        <f>IF(G74="", "", INDEX(Questions!N:N, G74))</f>
        <v/>
      </c>
      <c r="C74" s="66">
        <f>IF(G74="", "", IF(INDEX(Questions!A:A, G74)="3.5.3a", "Multi-Factor Authentication — sub-parts failing: " &amp; INDEX(Questions!P:P, G74), INDEX(Questions!B:B, G74)))</f>
        <v/>
      </c>
      <c r="D74" s="66">
        <f>IF(G74="", "", IF(INDEX(Questions!A:A, G74)="3.12.4", "Gate control — score not calculable until SSP exists", IF(INDEX(Questions!A:A, G74)="3.5.3a", "One or more sub-parts not in place", IF(INDEX(Questions!D:D, G74)="Partial", "Partially implemented / incomplete evidence", IF(INDEX(Questions!D:D, G74)="Not Yet", "Not implemented yet", IF(INDEX(Questions!D:D, G74)="", "Not yet answered (treated as Not Yet)", "Pending"))))))</f>
        <v/>
      </c>
      <c r="E74" s="65">
        <f>IF(G74="", "", IF(INDEX(Questions!I:I, G74)="3.5.3", 5, INDEX(Questions!L:L, G74)))</f>
        <v/>
      </c>
      <c r="F74" s="66">
        <f>IF(G74="", "", INDEX(Questions!M:M, G74))</f>
        <v/>
      </c>
      <c r="G74" s="27">
        <f>IFERROR(IF(SMALL(Gap_Slot_Range, ROW()-4)=-1, MATCH("3.12.4", Questions!A:A, 0), SMALL(Gap_Slot_Range, ROW()-4)), "")</f>
        <v/>
      </c>
    </row>
    <row r="75">
      <c r="A75" s="47">
        <f>IF(G75="", "", IF(INDEX(Questions!I:I, G75)="3.5.3", "3.5.3", INDEX(Questions!A:A, G75)))</f>
        <v/>
      </c>
      <c r="B75" s="65">
        <f>IF(G75="", "", INDEX(Questions!N:N, G75))</f>
        <v/>
      </c>
      <c r="C75" s="66">
        <f>IF(G75="", "", IF(INDEX(Questions!A:A, G75)="3.5.3a", "Multi-Factor Authentication — sub-parts failing: " &amp; INDEX(Questions!P:P, G75), INDEX(Questions!B:B, G75)))</f>
        <v/>
      </c>
      <c r="D75" s="66">
        <f>IF(G75="", "", IF(INDEX(Questions!A:A, G75)="3.12.4", "Gate control — score not calculable until SSP exists", IF(INDEX(Questions!A:A, G75)="3.5.3a", "One or more sub-parts not in place", IF(INDEX(Questions!D:D, G75)="Partial", "Partially implemented / incomplete evidence", IF(INDEX(Questions!D:D, G75)="Not Yet", "Not implemented yet", IF(INDEX(Questions!D:D, G75)="", "Not yet answered (treated as Not Yet)", "Pending"))))))</f>
        <v/>
      </c>
      <c r="E75" s="65">
        <f>IF(G75="", "", IF(INDEX(Questions!I:I, G75)="3.5.3", 5, INDEX(Questions!L:L, G75)))</f>
        <v/>
      </c>
      <c r="F75" s="66">
        <f>IF(G75="", "", INDEX(Questions!M:M, G75))</f>
        <v/>
      </c>
      <c r="G75" s="27">
        <f>IFERROR(IF(SMALL(Gap_Slot_Range, ROW()-4)=-1, MATCH("3.12.4", Questions!A:A, 0), SMALL(Gap_Slot_Range, ROW()-4)), "")</f>
        <v/>
      </c>
    </row>
    <row r="76">
      <c r="A76" s="47">
        <f>IF(G76="", "", IF(INDEX(Questions!I:I, G76)="3.5.3", "3.5.3", INDEX(Questions!A:A, G76)))</f>
        <v/>
      </c>
      <c r="B76" s="65">
        <f>IF(G76="", "", INDEX(Questions!N:N, G76))</f>
        <v/>
      </c>
      <c r="C76" s="66">
        <f>IF(G76="", "", IF(INDEX(Questions!A:A, G76)="3.5.3a", "Multi-Factor Authentication — sub-parts failing: " &amp; INDEX(Questions!P:P, G76), INDEX(Questions!B:B, G76)))</f>
        <v/>
      </c>
      <c r="D76" s="66">
        <f>IF(G76="", "", IF(INDEX(Questions!A:A, G76)="3.12.4", "Gate control — score not calculable until SSP exists", IF(INDEX(Questions!A:A, G76)="3.5.3a", "One or more sub-parts not in place", IF(INDEX(Questions!D:D, G76)="Partial", "Partially implemented / incomplete evidence", IF(INDEX(Questions!D:D, G76)="Not Yet", "Not implemented yet", IF(INDEX(Questions!D:D, G76)="", "Not yet answered (treated as Not Yet)", "Pending"))))))</f>
        <v/>
      </c>
      <c r="E76" s="65">
        <f>IF(G76="", "", IF(INDEX(Questions!I:I, G76)="3.5.3", 5, INDEX(Questions!L:L, G76)))</f>
        <v/>
      </c>
      <c r="F76" s="66">
        <f>IF(G76="", "", INDEX(Questions!M:M, G76))</f>
        <v/>
      </c>
      <c r="G76" s="27">
        <f>IFERROR(IF(SMALL(Gap_Slot_Range, ROW()-4)=-1, MATCH("3.12.4", Questions!A:A, 0), SMALL(Gap_Slot_Range, ROW()-4)), "")</f>
        <v/>
      </c>
    </row>
    <row r="77">
      <c r="A77" s="47">
        <f>IF(G77="", "", IF(INDEX(Questions!I:I, G77)="3.5.3", "3.5.3", INDEX(Questions!A:A, G77)))</f>
        <v/>
      </c>
      <c r="B77" s="65">
        <f>IF(G77="", "", INDEX(Questions!N:N, G77))</f>
        <v/>
      </c>
      <c r="C77" s="66">
        <f>IF(G77="", "", IF(INDEX(Questions!A:A, G77)="3.5.3a", "Multi-Factor Authentication — sub-parts failing: " &amp; INDEX(Questions!P:P, G77), INDEX(Questions!B:B, G77)))</f>
        <v/>
      </c>
      <c r="D77" s="66">
        <f>IF(G77="", "", IF(INDEX(Questions!A:A, G77)="3.12.4", "Gate control — score not calculable until SSP exists", IF(INDEX(Questions!A:A, G77)="3.5.3a", "One or more sub-parts not in place", IF(INDEX(Questions!D:D, G77)="Partial", "Partially implemented / incomplete evidence", IF(INDEX(Questions!D:D, G77)="Not Yet", "Not implemented yet", IF(INDEX(Questions!D:D, G77)="", "Not yet answered (treated as Not Yet)", "Pending"))))))</f>
        <v/>
      </c>
      <c r="E77" s="65">
        <f>IF(G77="", "", IF(INDEX(Questions!I:I, G77)="3.5.3", 5, INDEX(Questions!L:L, G77)))</f>
        <v/>
      </c>
      <c r="F77" s="66">
        <f>IF(G77="", "", INDEX(Questions!M:M, G77))</f>
        <v/>
      </c>
      <c r="G77" s="27">
        <f>IFERROR(IF(SMALL(Gap_Slot_Range, ROW()-4)=-1, MATCH("3.12.4", Questions!A:A, 0), SMALL(Gap_Slot_Range, ROW()-4)), "")</f>
        <v/>
      </c>
    </row>
    <row r="78">
      <c r="A78" s="47">
        <f>IF(G78="", "", IF(INDEX(Questions!I:I, G78)="3.5.3", "3.5.3", INDEX(Questions!A:A, G78)))</f>
        <v/>
      </c>
      <c r="B78" s="65">
        <f>IF(G78="", "", INDEX(Questions!N:N, G78))</f>
        <v/>
      </c>
      <c r="C78" s="66">
        <f>IF(G78="", "", IF(INDEX(Questions!A:A, G78)="3.5.3a", "Multi-Factor Authentication — sub-parts failing: " &amp; INDEX(Questions!P:P, G78), INDEX(Questions!B:B, G78)))</f>
        <v/>
      </c>
      <c r="D78" s="66">
        <f>IF(G78="", "", IF(INDEX(Questions!A:A, G78)="3.12.4", "Gate control — score not calculable until SSP exists", IF(INDEX(Questions!A:A, G78)="3.5.3a", "One or more sub-parts not in place", IF(INDEX(Questions!D:D, G78)="Partial", "Partially implemented / incomplete evidence", IF(INDEX(Questions!D:D, G78)="Not Yet", "Not implemented yet", IF(INDEX(Questions!D:D, G78)="", "Not yet answered (treated as Not Yet)", "Pending"))))))</f>
        <v/>
      </c>
      <c r="E78" s="65">
        <f>IF(G78="", "", IF(INDEX(Questions!I:I, G78)="3.5.3", 5, INDEX(Questions!L:L, G78)))</f>
        <v/>
      </c>
      <c r="F78" s="66">
        <f>IF(G78="", "", INDEX(Questions!M:M, G78))</f>
        <v/>
      </c>
      <c r="G78" s="27">
        <f>IFERROR(IF(SMALL(Gap_Slot_Range, ROW()-4)=-1, MATCH("3.12.4", Questions!A:A, 0), SMALL(Gap_Slot_Range, ROW()-4)), "")</f>
        <v/>
      </c>
    </row>
    <row r="79">
      <c r="A79" s="47">
        <f>IF(G79="", "", IF(INDEX(Questions!I:I, G79)="3.5.3", "3.5.3", INDEX(Questions!A:A, G79)))</f>
        <v/>
      </c>
      <c r="B79" s="65">
        <f>IF(G79="", "", INDEX(Questions!N:N, G79))</f>
        <v/>
      </c>
      <c r="C79" s="66">
        <f>IF(G79="", "", IF(INDEX(Questions!A:A, G79)="3.5.3a", "Multi-Factor Authentication — sub-parts failing: " &amp; INDEX(Questions!P:P, G79), INDEX(Questions!B:B, G79)))</f>
        <v/>
      </c>
      <c r="D79" s="66">
        <f>IF(G79="", "", IF(INDEX(Questions!A:A, G79)="3.12.4", "Gate control — score not calculable until SSP exists", IF(INDEX(Questions!A:A, G79)="3.5.3a", "One or more sub-parts not in place", IF(INDEX(Questions!D:D, G79)="Partial", "Partially implemented / incomplete evidence", IF(INDEX(Questions!D:D, G79)="Not Yet", "Not implemented yet", IF(INDEX(Questions!D:D, G79)="", "Not yet answered (treated as Not Yet)", "Pending"))))))</f>
        <v/>
      </c>
      <c r="E79" s="65">
        <f>IF(G79="", "", IF(INDEX(Questions!I:I, G79)="3.5.3", 5, INDEX(Questions!L:L, G79)))</f>
        <v/>
      </c>
      <c r="F79" s="66">
        <f>IF(G79="", "", INDEX(Questions!M:M, G79))</f>
        <v/>
      </c>
      <c r="G79" s="27">
        <f>IFERROR(IF(SMALL(Gap_Slot_Range, ROW()-4)=-1, MATCH("3.12.4", Questions!A:A, 0), SMALL(Gap_Slot_Range, ROW()-4)), "")</f>
        <v/>
      </c>
    </row>
    <row r="80">
      <c r="A80" s="47">
        <f>IF(G80="", "", IF(INDEX(Questions!I:I, G80)="3.5.3", "3.5.3", INDEX(Questions!A:A, G80)))</f>
        <v/>
      </c>
      <c r="B80" s="65">
        <f>IF(G80="", "", INDEX(Questions!N:N, G80))</f>
        <v/>
      </c>
      <c r="C80" s="66">
        <f>IF(G80="", "", IF(INDEX(Questions!A:A, G80)="3.5.3a", "Multi-Factor Authentication — sub-parts failing: " &amp; INDEX(Questions!P:P, G80), INDEX(Questions!B:B, G80)))</f>
        <v/>
      </c>
      <c r="D80" s="66">
        <f>IF(G80="", "", IF(INDEX(Questions!A:A, G80)="3.12.4", "Gate control — score not calculable until SSP exists", IF(INDEX(Questions!A:A, G80)="3.5.3a", "One or more sub-parts not in place", IF(INDEX(Questions!D:D, G80)="Partial", "Partially implemented / incomplete evidence", IF(INDEX(Questions!D:D, G80)="Not Yet", "Not implemented yet", IF(INDEX(Questions!D:D, G80)="", "Not yet answered (treated as Not Yet)", "Pending"))))))</f>
        <v/>
      </c>
      <c r="E80" s="65">
        <f>IF(G80="", "", IF(INDEX(Questions!I:I, G80)="3.5.3", 5, INDEX(Questions!L:L, G80)))</f>
        <v/>
      </c>
      <c r="F80" s="66">
        <f>IF(G80="", "", INDEX(Questions!M:M, G80))</f>
        <v/>
      </c>
      <c r="G80" s="27">
        <f>IFERROR(IF(SMALL(Gap_Slot_Range, ROW()-4)=-1, MATCH("3.12.4", Questions!A:A, 0), SMALL(Gap_Slot_Range, ROW()-4)), "")</f>
        <v/>
      </c>
    </row>
    <row r="81">
      <c r="A81" s="47">
        <f>IF(G81="", "", IF(INDEX(Questions!I:I, G81)="3.5.3", "3.5.3", INDEX(Questions!A:A, G81)))</f>
        <v/>
      </c>
      <c r="B81" s="65">
        <f>IF(G81="", "", INDEX(Questions!N:N, G81))</f>
        <v/>
      </c>
      <c r="C81" s="66">
        <f>IF(G81="", "", IF(INDEX(Questions!A:A, G81)="3.5.3a", "Multi-Factor Authentication — sub-parts failing: " &amp; INDEX(Questions!P:P, G81), INDEX(Questions!B:B, G81)))</f>
        <v/>
      </c>
      <c r="D81" s="66">
        <f>IF(G81="", "", IF(INDEX(Questions!A:A, G81)="3.12.4", "Gate control — score not calculable until SSP exists", IF(INDEX(Questions!A:A, G81)="3.5.3a", "One or more sub-parts not in place", IF(INDEX(Questions!D:D, G81)="Partial", "Partially implemented / incomplete evidence", IF(INDEX(Questions!D:D, G81)="Not Yet", "Not implemented yet", IF(INDEX(Questions!D:D, G81)="", "Not yet answered (treated as Not Yet)", "Pending"))))))</f>
        <v/>
      </c>
      <c r="E81" s="65">
        <f>IF(G81="", "", IF(INDEX(Questions!I:I, G81)="3.5.3", 5, INDEX(Questions!L:L, G81)))</f>
        <v/>
      </c>
      <c r="F81" s="66">
        <f>IF(G81="", "", INDEX(Questions!M:M, G81))</f>
        <v/>
      </c>
      <c r="G81" s="27">
        <f>IFERROR(IF(SMALL(Gap_Slot_Range, ROW()-4)=-1, MATCH("3.12.4", Questions!A:A, 0), SMALL(Gap_Slot_Range, ROW()-4)), "")</f>
        <v/>
      </c>
    </row>
    <row r="82">
      <c r="A82" s="47">
        <f>IF(G82="", "", IF(INDEX(Questions!I:I, G82)="3.5.3", "3.5.3", INDEX(Questions!A:A, G82)))</f>
        <v/>
      </c>
      <c r="B82" s="65">
        <f>IF(G82="", "", INDEX(Questions!N:N, G82))</f>
        <v/>
      </c>
      <c r="C82" s="66">
        <f>IF(G82="", "", IF(INDEX(Questions!A:A, G82)="3.5.3a", "Multi-Factor Authentication — sub-parts failing: " &amp; INDEX(Questions!P:P, G82), INDEX(Questions!B:B, G82)))</f>
        <v/>
      </c>
      <c r="D82" s="66">
        <f>IF(G82="", "", IF(INDEX(Questions!A:A, G82)="3.12.4", "Gate control — score not calculable until SSP exists", IF(INDEX(Questions!A:A, G82)="3.5.3a", "One or more sub-parts not in place", IF(INDEX(Questions!D:D, G82)="Partial", "Partially implemented / incomplete evidence", IF(INDEX(Questions!D:D, G82)="Not Yet", "Not implemented yet", IF(INDEX(Questions!D:D, G82)="", "Not yet answered (treated as Not Yet)", "Pending"))))))</f>
        <v/>
      </c>
      <c r="E82" s="65">
        <f>IF(G82="", "", IF(INDEX(Questions!I:I, G82)="3.5.3", 5, INDEX(Questions!L:L, G82)))</f>
        <v/>
      </c>
      <c r="F82" s="66">
        <f>IF(G82="", "", INDEX(Questions!M:M, G82))</f>
        <v/>
      </c>
      <c r="G82" s="27">
        <f>IFERROR(IF(SMALL(Gap_Slot_Range, ROW()-4)=-1, MATCH("3.12.4", Questions!A:A, 0), SMALL(Gap_Slot_Range, ROW()-4)), "")</f>
        <v/>
      </c>
    </row>
    <row r="83">
      <c r="A83" s="47">
        <f>IF(G83="", "", IF(INDEX(Questions!I:I, G83)="3.5.3", "3.5.3", INDEX(Questions!A:A, G83)))</f>
        <v/>
      </c>
      <c r="B83" s="65">
        <f>IF(G83="", "", INDEX(Questions!N:N, G83))</f>
        <v/>
      </c>
      <c r="C83" s="66">
        <f>IF(G83="", "", IF(INDEX(Questions!A:A, G83)="3.5.3a", "Multi-Factor Authentication — sub-parts failing: " &amp; INDEX(Questions!P:P, G83), INDEX(Questions!B:B, G83)))</f>
        <v/>
      </c>
      <c r="D83" s="66">
        <f>IF(G83="", "", IF(INDEX(Questions!A:A, G83)="3.12.4", "Gate control — score not calculable until SSP exists", IF(INDEX(Questions!A:A, G83)="3.5.3a", "One or more sub-parts not in place", IF(INDEX(Questions!D:D, G83)="Partial", "Partially implemented / incomplete evidence", IF(INDEX(Questions!D:D, G83)="Not Yet", "Not implemented yet", IF(INDEX(Questions!D:D, G83)="", "Not yet answered (treated as Not Yet)", "Pending"))))))</f>
        <v/>
      </c>
      <c r="E83" s="65">
        <f>IF(G83="", "", IF(INDEX(Questions!I:I, G83)="3.5.3", 5, INDEX(Questions!L:L, G83)))</f>
        <v/>
      </c>
      <c r="F83" s="66">
        <f>IF(G83="", "", INDEX(Questions!M:M, G83))</f>
        <v/>
      </c>
      <c r="G83" s="27">
        <f>IFERROR(IF(SMALL(Gap_Slot_Range, ROW()-4)=-1, MATCH("3.12.4", Questions!A:A, 0), SMALL(Gap_Slot_Range, ROW()-4)), "")</f>
        <v/>
      </c>
    </row>
    <row r="84">
      <c r="A84" s="47">
        <f>IF(G84="", "", IF(INDEX(Questions!I:I, G84)="3.5.3", "3.5.3", INDEX(Questions!A:A, G84)))</f>
        <v/>
      </c>
      <c r="B84" s="65">
        <f>IF(G84="", "", INDEX(Questions!N:N, G84))</f>
        <v/>
      </c>
      <c r="C84" s="66">
        <f>IF(G84="", "", IF(INDEX(Questions!A:A, G84)="3.5.3a", "Multi-Factor Authentication — sub-parts failing: " &amp; INDEX(Questions!P:P, G84), INDEX(Questions!B:B, G84)))</f>
        <v/>
      </c>
      <c r="D84" s="66">
        <f>IF(G84="", "", IF(INDEX(Questions!A:A, G84)="3.12.4", "Gate control — score not calculable until SSP exists", IF(INDEX(Questions!A:A, G84)="3.5.3a", "One or more sub-parts not in place", IF(INDEX(Questions!D:D, G84)="Partial", "Partially implemented / incomplete evidence", IF(INDEX(Questions!D:D, G84)="Not Yet", "Not implemented yet", IF(INDEX(Questions!D:D, G84)="", "Not yet answered (treated as Not Yet)", "Pending"))))))</f>
        <v/>
      </c>
      <c r="E84" s="65">
        <f>IF(G84="", "", IF(INDEX(Questions!I:I, G84)="3.5.3", 5, INDEX(Questions!L:L, G84)))</f>
        <v/>
      </c>
      <c r="F84" s="66">
        <f>IF(G84="", "", INDEX(Questions!M:M, G84))</f>
        <v/>
      </c>
      <c r="G84" s="27">
        <f>IFERROR(IF(SMALL(Gap_Slot_Range, ROW()-4)=-1, MATCH("3.12.4", Questions!A:A, 0), SMALL(Gap_Slot_Range, ROW()-4)), "")</f>
        <v/>
      </c>
    </row>
    <row r="85">
      <c r="A85" s="47">
        <f>IF(G85="", "", IF(INDEX(Questions!I:I, G85)="3.5.3", "3.5.3", INDEX(Questions!A:A, G85)))</f>
        <v/>
      </c>
      <c r="B85" s="65">
        <f>IF(G85="", "", INDEX(Questions!N:N, G85))</f>
        <v/>
      </c>
      <c r="C85" s="66">
        <f>IF(G85="", "", IF(INDEX(Questions!A:A, G85)="3.5.3a", "Multi-Factor Authentication — sub-parts failing: " &amp; INDEX(Questions!P:P, G85), INDEX(Questions!B:B, G85)))</f>
        <v/>
      </c>
      <c r="D85" s="66">
        <f>IF(G85="", "", IF(INDEX(Questions!A:A, G85)="3.12.4", "Gate control — score not calculable until SSP exists", IF(INDEX(Questions!A:A, G85)="3.5.3a", "One or more sub-parts not in place", IF(INDEX(Questions!D:D, G85)="Partial", "Partially implemented / incomplete evidence", IF(INDEX(Questions!D:D, G85)="Not Yet", "Not implemented yet", IF(INDEX(Questions!D:D, G85)="", "Not yet answered (treated as Not Yet)", "Pending"))))))</f>
        <v/>
      </c>
      <c r="E85" s="65">
        <f>IF(G85="", "", IF(INDEX(Questions!I:I, G85)="3.5.3", 5, INDEX(Questions!L:L, G85)))</f>
        <v/>
      </c>
      <c r="F85" s="66">
        <f>IF(G85="", "", INDEX(Questions!M:M, G85))</f>
        <v/>
      </c>
      <c r="G85" s="27">
        <f>IFERROR(IF(SMALL(Gap_Slot_Range, ROW()-4)=-1, MATCH("3.12.4", Questions!A:A, 0), SMALL(Gap_Slot_Range, ROW()-4)), "")</f>
        <v/>
      </c>
    </row>
    <row r="86">
      <c r="A86" s="47">
        <f>IF(G86="", "", IF(INDEX(Questions!I:I, G86)="3.5.3", "3.5.3", INDEX(Questions!A:A, G86)))</f>
        <v/>
      </c>
      <c r="B86" s="65">
        <f>IF(G86="", "", INDEX(Questions!N:N, G86))</f>
        <v/>
      </c>
      <c r="C86" s="66">
        <f>IF(G86="", "", IF(INDEX(Questions!A:A, G86)="3.5.3a", "Multi-Factor Authentication — sub-parts failing: " &amp; INDEX(Questions!P:P, G86), INDEX(Questions!B:B, G86)))</f>
        <v/>
      </c>
      <c r="D86" s="66">
        <f>IF(G86="", "", IF(INDEX(Questions!A:A, G86)="3.12.4", "Gate control — score not calculable until SSP exists", IF(INDEX(Questions!A:A, G86)="3.5.3a", "One or more sub-parts not in place", IF(INDEX(Questions!D:D, G86)="Partial", "Partially implemented / incomplete evidence", IF(INDEX(Questions!D:D, G86)="Not Yet", "Not implemented yet", IF(INDEX(Questions!D:D, G86)="", "Not yet answered (treated as Not Yet)", "Pending"))))))</f>
        <v/>
      </c>
      <c r="E86" s="65">
        <f>IF(G86="", "", IF(INDEX(Questions!I:I, G86)="3.5.3", 5, INDEX(Questions!L:L, G86)))</f>
        <v/>
      </c>
      <c r="F86" s="66">
        <f>IF(G86="", "", INDEX(Questions!M:M, G86))</f>
        <v/>
      </c>
      <c r="G86" s="27">
        <f>IFERROR(IF(SMALL(Gap_Slot_Range, ROW()-4)=-1, MATCH("3.12.4", Questions!A:A, 0), SMALL(Gap_Slot_Range, ROW()-4)), "")</f>
        <v/>
      </c>
    </row>
    <row r="87">
      <c r="A87" s="47">
        <f>IF(G87="", "", IF(INDEX(Questions!I:I, G87)="3.5.3", "3.5.3", INDEX(Questions!A:A, G87)))</f>
        <v/>
      </c>
      <c r="B87" s="65">
        <f>IF(G87="", "", INDEX(Questions!N:N, G87))</f>
        <v/>
      </c>
      <c r="C87" s="66">
        <f>IF(G87="", "", IF(INDEX(Questions!A:A, G87)="3.5.3a", "Multi-Factor Authentication — sub-parts failing: " &amp; INDEX(Questions!P:P, G87), INDEX(Questions!B:B, G87)))</f>
        <v/>
      </c>
      <c r="D87" s="66">
        <f>IF(G87="", "", IF(INDEX(Questions!A:A, G87)="3.12.4", "Gate control — score not calculable until SSP exists", IF(INDEX(Questions!A:A, G87)="3.5.3a", "One or more sub-parts not in place", IF(INDEX(Questions!D:D, G87)="Partial", "Partially implemented / incomplete evidence", IF(INDEX(Questions!D:D, G87)="Not Yet", "Not implemented yet", IF(INDEX(Questions!D:D, G87)="", "Not yet answered (treated as Not Yet)", "Pending"))))))</f>
        <v/>
      </c>
      <c r="E87" s="65">
        <f>IF(G87="", "", IF(INDEX(Questions!I:I, G87)="3.5.3", 5, INDEX(Questions!L:L, G87)))</f>
        <v/>
      </c>
      <c r="F87" s="66">
        <f>IF(G87="", "", INDEX(Questions!M:M, G87))</f>
        <v/>
      </c>
      <c r="G87" s="27">
        <f>IFERROR(IF(SMALL(Gap_Slot_Range, ROW()-4)=-1, MATCH("3.12.4", Questions!A:A, 0), SMALL(Gap_Slot_Range, ROW()-4)), "")</f>
        <v/>
      </c>
    </row>
    <row r="88">
      <c r="A88" s="47">
        <f>IF(G88="", "", IF(INDEX(Questions!I:I, G88)="3.5.3", "3.5.3", INDEX(Questions!A:A, G88)))</f>
        <v/>
      </c>
      <c r="B88" s="65">
        <f>IF(G88="", "", INDEX(Questions!N:N, G88))</f>
        <v/>
      </c>
      <c r="C88" s="66">
        <f>IF(G88="", "", IF(INDEX(Questions!A:A, G88)="3.5.3a", "Multi-Factor Authentication — sub-parts failing: " &amp; INDEX(Questions!P:P, G88), INDEX(Questions!B:B, G88)))</f>
        <v/>
      </c>
      <c r="D88" s="66">
        <f>IF(G88="", "", IF(INDEX(Questions!A:A, G88)="3.12.4", "Gate control — score not calculable until SSP exists", IF(INDEX(Questions!A:A, G88)="3.5.3a", "One or more sub-parts not in place", IF(INDEX(Questions!D:D, G88)="Partial", "Partially implemented / incomplete evidence", IF(INDEX(Questions!D:D, G88)="Not Yet", "Not implemented yet", IF(INDEX(Questions!D:D, G88)="", "Not yet answered (treated as Not Yet)", "Pending"))))))</f>
        <v/>
      </c>
      <c r="E88" s="65">
        <f>IF(G88="", "", IF(INDEX(Questions!I:I, G88)="3.5.3", 5, INDEX(Questions!L:L, G88)))</f>
        <v/>
      </c>
      <c r="F88" s="66">
        <f>IF(G88="", "", INDEX(Questions!M:M, G88))</f>
        <v/>
      </c>
      <c r="G88" s="27">
        <f>IFERROR(IF(SMALL(Gap_Slot_Range, ROW()-4)=-1, MATCH("3.12.4", Questions!A:A, 0), SMALL(Gap_Slot_Range, ROW()-4)), "")</f>
        <v/>
      </c>
    </row>
    <row r="89">
      <c r="A89" s="47">
        <f>IF(G89="", "", IF(INDEX(Questions!I:I, G89)="3.5.3", "3.5.3", INDEX(Questions!A:A, G89)))</f>
        <v/>
      </c>
      <c r="B89" s="65">
        <f>IF(G89="", "", INDEX(Questions!N:N, G89))</f>
        <v/>
      </c>
      <c r="C89" s="66">
        <f>IF(G89="", "", IF(INDEX(Questions!A:A, G89)="3.5.3a", "Multi-Factor Authentication — sub-parts failing: " &amp; INDEX(Questions!P:P, G89), INDEX(Questions!B:B, G89)))</f>
        <v/>
      </c>
      <c r="D89" s="66">
        <f>IF(G89="", "", IF(INDEX(Questions!A:A, G89)="3.12.4", "Gate control — score not calculable until SSP exists", IF(INDEX(Questions!A:A, G89)="3.5.3a", "One or more sub-parts not in place", IF(INDEX(Questions!D:D, G89)="Partial", "Partially implemented / incomplete evidence", IF(INDEX(Questions!D:D, G89)="Not Yet", "Not implemented yet", IF(INDEX(Questions!D:D, G89)="", "Not yet answered (treated as Not Yet)", "Pending"))))))</f>
        <v/>
      </c>
      <c r="E89" s="65">
        <f>IF(G89="", "", IF(INDEX(Questions!I:I, G89)="3.5.3", 5, INDEX(Questions!L:L, G89)))</f>
        <v/>
      </c>
      <c r="F89" s="66">
        <f>IF(G89="", "", INDEX(Questions!M:M, G89))</f>
        <v/>
      </c>
      <c r="G89" s="27">
        <f>IFERROR(IF(SMALL(Gap_Slot_Range, ROW()-4)=-1, MATCH("3.12.4", Questions!A:A, 0), SMALL(Gap_Slot_Range, ROW()-4)), "")</f>
        <v/>
      </c>
    </row>
    <row r="90">
      <c r="A90" s="47">
        <f>IF(G90="", "", IF(INDEX(Questions!I:I, G90)="3.5.3", "3.5.3", INDEX(Questions!A:A, G90)))</f>
        <v/>
      </c>
      <c r="B90" s="65">
        <f>IF(G90="", "", INDEX(Questions!N:N, G90))</f>
        <v/>
      </c>
      <c r="C90" s="66">
        <f>IF(G90="", "", IF(INDEX(Questions!A:A, G90)="3.5.3a", "Multi-Factor Authentication — sub-parts failing: " &amp; INDEX(Questions!P:P, G90), INDEX(Questions!B:B, G90)))</f>
        <v/>
      </c>
      <c r="D90" s="66">
        <f>IF(G90="", "", IF(INDEX(Questions!A:A, G90)="3.12.4", "Gate control — score not calculable until SSP exists", IF(INDEX(Questions!A:A, G90)="3.5.3a", "One or more sub-parts not in place", IF(INDEX(Questions!D:D, G90)="Partial", "Partially implemented / incomplete evidence", IF(INDEX(Questions!D:D, G90)="Not Yet", "Not implemented yet", IF(INDEX(Questions!D:D, G90)="", "Not yet answered (treated as Not Yet)", "Pending"))))))</f>
        <v/>
      </c>
      <c r="E90" s="65">
        <f>IF(G90="", "", IF(INDEX(Questions!I:I, G90)="3.5.3", 5, INDEX(Questions!L:L, G90)))</f>
        <v/>
      </c>
      <c r="F90" s="66">
        <f>IF(G90="", "", INDEX(Questions!M:M, G90))</f>
        <v/>
      </c>
      <c r="G90" s="27">
        <f>IFERROR(IF(SMALL(Gap_Slot_Range, ROW()-4)=-1, MATCH("3.12.4", Questions!A:A, 0), SMALL(Gap_Slot_Range, ROW()-4)), "")</f>
        <v/>
      </c>
    </row>
    <row r="91">
      <c r="A91" s="47">
        <f>IF(G91="", "", IF(INDEX(Questions!I:I, G91)="3.5.3", "3.5.3", INDEX(Questions!A:A, G91)))</f>
        <v/>
      </c>
      <c r="B91" s="65">
        <f>IF(G91="", "", INDEX(Questions!N:N, G91))</f>
        <v/>
      </c>
      <c r="C91" s="66">
        <f>IF(G91="", "", IF(INDEX(Questions!A:A, G91)="3.5.3a", "Multi-Factor Authentication — sub-parts failing: " &amp; INDEX(Questions!P:P, G91), INDEX(Questions!B:B, G91)))</f>
        <v/>
      </c>
      <c r="D91" s="66">
        <f>IF(G91="", "", IF(INDEX(Questions!A:A, G91)="3.12.4", "Gate control — score not calculable until SSP exists", IF(INDEX(Questions!A:A, G91)="3.5.3a", "One or more sub-parts not in place", IF(INDEX(Questions!D:D, G91)="Partial", "Partially implemented / incomplete evidence", IF(INDEX(Questions!D:D, G91)="Not Yet", "Not implemented yet", IF(INDEX(Questions!D:D, G91)="", "Not yet answered (treated as Not Yet)", "Pending"))))))</f>
        <v/>
      </c>
      <c r="E91" s="65">
        <f>IF(G91="", "", IF(INDEX(Questions!I:I, G91)="3.5.3", 5, INDEX(Questions!L:L, G91)))</f>
        <v/>
      </c>
      <c r="F91" s="66">
        <f>IF(G91="", "", INDEX(Questions!M:M, G91))</f>
        <v/>
      </c>
      <c r="G91" s="27">
        <f>IFERROR(IF(SMALL(Gap_Slot_Range, ROW()-4)=-1, MATCH("3.12.4", Questions!A:A, 0), SMALL(Gap_Slot_Range, ROW()-4)), "")</f>
        <v/>
      </c>
    </row>
    <row r="92">
      <c r="A92" s="47">
        <f>IF(G92="", "", IF(INDEX(Questions!I:I, G92)="3.5.3", "3.5.3", INDEX(Questions!A:A, G92)))</f>
        <v/>
      </c>
      <c r="B92" s="65">
        <f>IF(G92="", "", INDEX(Questions!N:N, G92))</f>
        <v/>
      </c>
      <c r="C92" s="66">
        <f>IF(G92="", "", IF(INDEX(Questions!A:A, G92)="3.5.3a", "Multi-Factor Authentication — sub-parts failing: " &amp; INDEX(Questions!P:P, G92), INDEX(Questions!B:B, G92)))</f>
        <v/>
      </c>
      <c r="D92" s="66">
        <f>IF(G92="", "", IF(INDEX(Questions!A:A, G92)="3.12.4", "Gate control — score not calculable until SSP exists", IF(INDEX(Questions!A:A, G92)="3.5.3a", "One or more sub-parts not in place", IF(INDEX(Questions!D:D, G92)="Partial", "Partially implemented / incomplete evidence", IF(INDEX(Questions!D:D, G92)="Not Yet", "Not implemented yet", IF(INDEX(Questions!D:D, G92)="", "Not yet answered (treated as Not Yet)", "Pending"))))))</f>
        <v/>
      </c>
      <c r="E92" s="65">
        <f>IF(G92="", "", IF(INDEX(Questions!I:I, G92)="3.5.3", 5, INDEX(Questions!L:L, G92)))</f>
        <v/>
      </c>
      <c r="F92" s="66">
        <f>IF(G92="", "", INDEX(Questions!M:M, G92))</f>
        <v/>
      </c>
      <c r="G92" s="27">
        <f>IFERROR(IF(SMALL(Gap_Slot_Range, ROW()-4)=-1, MATCH("3.12.4", Questions!A:A, 0), SMALL(Gap_Slot_Range, ROW()-4)), "")</f>
        <v/>
      </c>
    </row>
    <row r="93">
      <c r="A93" s="47">
        <f>IF(G93="", "", IF(INDEX(Questions!I:I, G93)="3.5.3", "3.5.3", INDEX(Questions!A:A, G93)))</f>
        <v/>
      </c>
      <c r="B93" s="65">
        <f>IF(G93="", "", INDEX(Questions!N:N, G93))</f>
        <v/>
      </c>
      <c r="C93" s="66">
        <f>IF(G93="", "", IF(INDEX(Questions!A:A, G93)="3.5.3a", "Multi-Factor Authentication — sub-parts failing: " &amp; INDEX(Questions!P:P, G93), INDEX(Questions!B:B, G93)))</f>
        <v/>
      </c>
      <c r="D93" s="66">
        <f>IF(G93="", "", IF(INDEX(Questions!A:A, G93)="3.12.4", "Gate control — score not calculable until SSP exists", IF(INDEX(Questions!A:A, G93)="3.5.3a", "One or more sub-parts not in place", IF(INDEX(Questions!D:D, G93)="Partial", "Partially implemented / incomplete evidence", IF(INDEX(Questions!D:D, G93)="Not Yet", "Not implemented yet", IF(INDEX(Questions!D:D, G93)="", "Not yet answered (treated as Not Yet)", "Pending"))))))</f>
        <v/>
      </c>
      <c r="E93" s="65">
        <f>IF(G93="", "", IF(INDEX(Questions!I:I, G93)="3.5.3", 5, INDEX(Questions!L:L, G93)))</f>
        <v/>
      </c>
      <c r="F93" s="66">
        <f>IF(G93="", "", INDEX(Questions!M:M, G93))</f>
        <v/>
      </c>
      <c r="G93" s="27">
        <f>IFERROR(IF(SMALL(Gap_Slot_Range, ROW()-4)=-1, MATCH("3.12.4", Questions!A:A, 0), SMALL(Gap_Slot_Range, ROW()-4)), "")</f>
        <v/>
      </c>
    </row>
    <row r="94">
      <c r="A94" s="47">
        <f>IF(G94="", "", IF(INDEX(Questions!I:I, G94)="3.5.3", "3.5.3", INDEX(Questions!A:A, G94)))</f>
        <v/>
      </c>
      <c r="B94" s="65">
        <f>IF(G94="", "", INDEX(Questions!N:N, G94))</f>
        <v/>
      </c>
      <c r="C94" s="66">
        <f>IF(G94="", "", IF(INDEX(Questions!A:A, G94)="3.5.3a", "Multi-Factor Authentication — sub-parts failing: " &amp; INDEX(Questions!P:P, G94), INDEX(Questions!B:B, G94)))</f>
        <v/>
      </c>
      <c r="D94" s="66">
        <f>IF(G94="", "", IF(INDEX(Questions!A:A, G94)="3.12.4", "Gate control — score not calculable until SSP exists", IF(INDEX(Questions!A:A, G94)="3.5.3a", "One or more sub-parts not in place", IF(INDEX(Questions!D:D, G94)="Partial", "Partially implemented / incomplete evidence", IF(INDEX(Questions!D:D, G94)="Not Yet", "Not implemented yet", IF(INDEX(Questions!D:D, G94)="", "Not yet answered (treated as Not Yet)", "Pending"))))))</f>
        <v/>
      </c>
      <c r="E94" s="65">
        <f>IF(G94="", "", IF(INDEX(Questions!I:I, G94)="3.5.3", 5, INDEX(Questions!L:L, G94)))</f>
        <v/>
      </c>
      <c r="F94" s="66">
        <f>IF(G94="", "", INDEX(Questions!M:M, G94))</f>
        <v/>
      </c>
      <c r="G94" s="27">
        <f>IFERROR(IF(SMALL(Gap_Slot_Range, ROW()-4)=-1, MATCH("3.12.4", Questions!A:A, 0), SMALL(Gap_Slot_Range, ROW()-4)), "")</f>
        <v/>
      </c>
    </row>
    <row r="95">
      <c r="A95" s="47">
        <f>IF(G95="", "", IF(INDEX(Questions!I:I, G95)="3.5.3", "3.5.3", INDEX(Questions!A:A, G95)))</f>
        <v/>
      </c>
      <c r="B95" s="65">
        <f>IF(G95="", "", INDEX(Questions!N:N, G95))</f>
        <v/>
      </c>
      <c r="C95" s="66">
        <f>IF(G95="", "", IF(INDEX(Questions!A:A, G95)="3.5.3a", "Multi-Factor Authentication — sub-parts failing: " &amp; INDEX(Questions!P:P, G95), INDEX(Questions!B:B, G95)))</f>
        <v/>
      </c>
      <c r="D95" s="66">
        <f>IF(G95="", "", IF(INDEX(Questions!A:A, G95)="3.12.4", "Gate control — score not calculable until SSP exists", IF(INDEX(Questions!A:A, G95)="3.5.3a", "One or more sub-parts not in place", IF(INDEX(Questions!D:D, G95)="Partial", "Partially implemented / incomplete evidence", IF(INDEX(Questions!D:D, G95)="Not Yet", "Not implemented yet", IF(INDEX(Questions!D:D, G95)="", "Not yet answered (treated as Not Yet)", "Pending"))))))</f>
        <v/>
      </c>
      <c r="E95" s="65">
        <f>IF(G95="", "", IF(INDEX(Questions!I:I, G95)="3.5.3", 5, INDEX(Questions!L:L, G95)))</f>
        <v/>
      </c>
      <c r="F95" s="66">
        <f>IF(G95="", "", INDEX(Questions!M:M, G95))</f>
        <v/>
      </c>
      <c r="G95" s="27">
        <f>IFERROR(IF(SMALL(Gap_Slot_Range, ROW()-4)=-1, MATCH("3.12.4", Questions!A:A, 0), SMALL(Gap_Slot_Range, ROW()-4)), "")</f>
        <v/>
      </c>
    </row>
    <row r="96">
      <c r="A96" s="47">
        <f>IF(G96="", "", IF(INDEX(Questions!I:I, G96)="3.5.3", "3.5.3", INDEX(Questions!A:A, G96)))</f>
        <v/>
      </c>
      <c r="B96" s="65">
        <f>IF(G96="", "", INDEX(Questions!N:N, G96))</f>
        <v/>
      </c>
      <c r="C96" s="66">
        <f>IF(G96="", "", IF(INDEX(Questions!A:A, G96)="3.5.3a", "Multi-Factor Authentication — sub-parts failing: " &amp; INDEX(Questions!P:P, G96), INDEX(Questions!B:B, G96)))</f>
        <v/>
      </c>
      <c r="D96" s="66">
        <f>IF(G96="", "", IF(INDEX(Questions!A:A, G96)="3.12.4", "Gate control — score not calculable until SSP exists", IF(INDEX(Questions!A:A, G96)="3.5.3a", "One or more sub-parts not in place", IF(INDEX(Questions!D:D, G96)="Partial", "Partially implemented / incomplete evidence", IF(INDEX(Questions!D:D, G96)="Not Yet", "Not implemented yet", IF(INDEX(Questions!D:D, G96)="", "Not yet answered (treated as Not Yet)", "Pending"))))))</f>
        <v/>
      </c>
      <c r="E96" s="65">
        <f>IF(G96="", "", IF(INDEX(Questions!I:I, G96)="3.5.3", 5, INDEX(Questions!L:L, G96)))</f>
        <v/>
      </c>
      <c r="F96" s="66">
        <f>IF(G96="", "", INDEX(Questions!M:M, G96))</f>
        <v/>
      </c>
      <c r="G96" s="27">
        <f>IFERROR(IF(SMALL(Gap_Slot_Range, ROW()-4)=-1, MATCH("3.12.4", Questions!A:A, 0), SMALL(Gap_Slot_Range, ROW()-4)), "")</f>
        <v/>
      </c>
    </row>
    <row r="97">
      <c r="A97" s="47">
        <f>IF(G97="", "", IF(INDEX(Questions!I:I, G97)="3.5.3", "3.5.3", INDEX(Questions!A:A, G97)))</f>
        <v/>
      </c>
      <c r="B97" s="65">
        <f>IF(G97="", "", INDEX(Questions!N:N, G97))</f>
        <v/>
      </c>
      <c r="C97" s="66">
        <f>IF(G97="", "", IF(INDEX(Questions!A:A, G97)="3.5.3a", "Multi-Factor Authentication — sub-parts failing: " &amp; INDEX(Questions!P:P, G97), INDEX(Questions!B:B, G97)))</f>
        <v/>
      </c>
      <c r="D97" s="66">
        <f>IF(G97="", "", IF(INDEX(Questions!A:A, G97)="3.12.4", "Gate control — score not calculable until SSP exists", IF(INDEX(Questions!A:A, G97)="3.5.3a", "One or more sub-parts not in place", IF(INDEX(Questions!D:D, G97)="Partial", "Partially implemented / incomplete evidence", IF(INDEX(Questions!D:D, G97)="Not Yet", "Not implemented yet", IF(INDEX(Questions!D:D, G97)="", "Not yet answered (treated as Not Yet)", "Pending"))))))</f>
        <v/>
      </c>
      <c r="E97" s="65">
        <f>IF(G97="", "", IF(INDEX(Questions!I:I, G97)="3.5.3", 5, INDEX(Questions!L:L, G97)))</f>
        <v/>
      </c>
      <c r="F97" s="66">
        <f>IF(G97="", "", INDEX(Questions!M:M, G97))</f>
        <v/>
      </c>
      <c r="G97" s="27">
        <f>IFERROR(IF(SMALL(Gap_Slot_Range, ROW()-4)=-1, MATCH("3.12.4", Questions!A:A, 0), SMALL(Gap_Slot_Range, ROW()-4)), "")</f>
        <v/>
      </c>
    </row>
    <row r="98">
      <c r="A98" s="47">
        <f>IF(G98="", "", IF(INDEX(Questions!I:I, G98)="3.5.3", "3.5.3", INDEX(Questions!A:A, G98)))</f>
        <v/>
      </c>
      <c r="B98" s="65">
        <f>IF(G98="", "", INDEX(Questions!N:N, G98))</f>
        <v/>
      </c>
      <c r="C98" s="66">
        <f>IF(G98="", "", IF(INDEX(Questions!A:A, G98)="3.5.3a", "Multi-Factor Authentication — sub-parts failing: " &amp; INDEX(Questions!P:P, G98), INDEX(Questions!B:B, G98)))</f>
        <v/>
      </c>
      <c r="D98" s="66">
        <f>IF(G98="", "", IF(INDEX(Questions!A:A, G98)="3.12.4", "Gate control — score not calculable until SSP exists", IF(INDEX(Questions!A:A, G98)="3.5.3a", "One or more sub-parts not in place", IF(INDEX(Questions!D:D, G98)="Partial", "Partially implemented / incomplete evidence", IF(INDEX(Questions!D:D, G98)="Not Yet", "Not implemented yet", IF(INDEX(Questions!D:D, G98)="", "Not yet answered (treated as Not Yet)", "Pending"))))))</f>
        <v/>
      </c>
      <c r="E98" s="65">
        <f>IF(G98="", "", IF(INDEX(Questions!I:I, G98)="3.5.3", 5, INDEX(Questions!L:L, G98)))</f>
        <v/>
      </c>
      <c r="F98" s="66">
        <f>IF(G98="", "", INDEX(Questions!M:M, G98))</f>
        <v/>
      </c>
      <c r="G98" s="27">
        <f>IFERROR(IF(SMALL(Gap_Slot_Range, ROW()-4)=-1, MATCH("3.12.4", Questions!A:A, 0), SMALL(Gap_Slot_Range, ROW()-4)), "")</f>
        <v/>
      </c>
    </row>
    <row r="99">
      <c r="A99" s="47">
        <f>IF(G99="", "", IF(INDEX(Questions!I:I, G99)="3.5.3", "3.5.3", INDEX(Questions!A:A, G99)))</f>
        <v/>
      </c>
      <c r="B99" s="65">
        <f>IF(G99="", "", INDEX(Questions!N:N, G99))</f>
        <v/>
      </c>
      <c r="C99" s="66">
        <f>IF(G99="", "", IF(INDEX(Questions!A:A, G99)="3.5.3a", "Multi-Factor Authentication — sub-parts failing: " &amp; INDEX(Questions!P:P, G99), INDEX(Questions!B:B, G99)))</f>
        <v/>
      </c>
      <c r="D99" s="66">
        <f>IF(G99="", "", IF(INDEX(Questions!A:A, G99)="3.12.4", "Gate control — score not calculable until SSP exists", IF(INDEX(Questions!A:A, G99)="3.5.3a", "One or more sub-parts not in place", IF(INDEX(Questions!D:D, G99)="Partial", "Partially implemented / incomplete evidence", IF(INDEX(Questions!D:D, G99)="Not Yet", "Not implemented yet", IF(INDEX(Questions!D:D, G99)="", "Not yet answered (treated as Not Yet)", "Pending"))))))</f>
        <v/>
      </c>
      <c r="E99" s="65">
        <f>IF(G99="", "", IF(INDEX(Questions!I:I, G99)="3.5.3", 5, INDEX(Questions!L:L, G99)))</f>
        <v/>
      </c>
      <c r="F99" s="66">
        <f>IF(G99="", "", INDEX(Questions!M:M, G99))</f>
        <v/>
      </c>
      <c r="G99" s="27">
        <f>IFERROR(IF(SMALL(Gap_Slot_Range, ROW()-4)=-1, MATCH("3.12.4", Questions!A:A, 0), SMALL(Gap_Slot_Range, ROW()-4)), "")</f>
        <v/>
      </c>
    </row>
    <row r="100">
      <c r="A100" s="47">
        <f>IF(G100="", "", IF(INDEX(Questions!I:I, G100)="3.5.3", "3.5.3", INDEX(Questions!A:A, G100)))</f>
        <v/>
      </c>
      <c r="B100" s="65">
        <f>IF(G100="", "", INDEX(Questions!N:N, G100))</f>
        <v/>
      </c>
      <c r="C100" s="66">
        <f>IF(G100="", "", IF(INDEX(Questions!A:A, G100)="3.5.3a", "Multi-Factor Authentication — sub-parts failing: " &amp; INDEX(Questions!P:P, G100), INDEX(Questions!B:B, G100)))</f>
        <v/>
      </c>
      <c r="D100" s="66">
        <f>IF(G100="", "", IF(INDEX(Questions!A:A, G100)="3.12.4", "Gate control — score not calculable until SSP exists", IF(INDEX(Questions!A:A, G100)="3.5.3a", "One or more sub-parts not in place", IF(INDEX(Questions!D:D, G100)="Partial", "Partially implemented / incomplete evidence", IF(INDEX(Questions!D:D, G100)="Not Yet", "Not implemented yet", IF(INDEX(Questions!D:D, G100)="", "Not yet answered (treated as Not Yet)", "Pending"))))))</f>
        <v/>
      </c>
      <c r="E100" s="65">
        <f>IF(G100="", "", IF(INDEX(Questions!I:I, G100)="3.5.3", 5, INDEX(Questions!L:L, G100)))</f>
        <v/>
      </c>
      <c r="F100" s="66">
        <f>IF(G100="", "", INDEX(Questions!M:M, G100))</f>
        <v/>
      </c>
      <c r="G100" s="27">
        <f>IFERROR(IF(SMALL(Gap_Slot_Range, ROW()-4)=-1, MATCH("3.12.4", Questions!A:A, 0), SMALL(Gap_Slot_Range, ROW()-4)), "")</f>
        <v/>
      </c>
    </row>
    <row r="101">
      <c r="A101" s="47">
        <f>IF(G101="", "", IF(INDEX(Questions!I:I, G101)="3.5.3", "3.5.3", INDEX(Questions!A:A, G101)))</f>
        <v/>
      </c>
      <c r="B101" s="65">
        <f>IF(G101="", "", INDEX(Questions!N:N, G101))</f>
        <v/>
      </c>
      <c r="C101" s="66">
        <f>IF(G101="", "", IF(INDEX(Questions!A:A, G101)="3.5.3a", "Multi-Factor Authentication — sub-parts failing: " &amp; INDEX(Questions!P:P, G101), INDEX(Questions!B:B, G101)))</f>
        <v/>
      </c>
      <c r="D101" s="66">
        <f>IF(G101="", "", IF(INDEX(Questions!A:A, G101)="3.12.4", "Gate control — score not calculable until SSP exists", IF(INDEX(Questions!A:A, G101)="3.5.3a", "One or more sub-parts not in place", IF(INDEX(Questions!D:D, G101)="Partial", "Partially implemented / incomplete evidence", IF(INDEX(Questions!D:D, G101)="Not Yet", "Not implemented yet", IF(INDEX(Questions!D:D, G101)="", "Not yet answered (treated as Not Yet)", "Pending"))))))</f>
        <v/>
      </c>
      <c r="E101" s="65">
        <f>IF(G101="", "", IF(INDEX(Questions!I:I, G101)="3.5.3", 5, INDEX(Questions!L:L, G101)))</f>
        <v/>
      </c>
      <c r="F101" s="66">
        <f>IF(G101="", "", INDEX(Questions!M:M, G101))</f>
        <v/>
      </c>
      <c r="G101" s="27">
        <f>IFERROR(IF(SMALL(Gap_Slot_Range, ROW()-4)=-1, MATCH("3.12.4", Questions!A:A, 0), SMALL(Gap_Slot_Range, ROW()-4)), "")</f>
        <v/>
      </c>
    </row>
    <row r="102">
      <c r="A102" s="47">
        <f>IF(G102="", "", IF(INDEX(Questions!I:I, G102)="3.5.3", "3.5.3", INDEX(Questions!A:A, G102)))</f>
        <v/>
      </c>
      <c r="B102" s="65">
        <f>IF(G102="", "", INDEX(Questions!N:N, G102))</f>
        <v/>
      </c>
      <c r="C102" s="66">
        <f>IF(G102="", "", IF(INDEX(Questions!A:A, G102)="3.5.3a", "Multi-Factor Authentication — sub-parts failing: " &amp; INDEX(Questions!P:P, G102), INDEX(Questions!B:B, G102)))</f>
        <v/>
      </c>
      <c r="D102" s="66">
        <f>IF(G102="", "", IF(INDEX(Questions!A:A, G102)="3.12.4", "Gate control — score not calculable until SSP exists", IF(INDEX(Questions!A:A, G102)="3.5.3a", "One or more sub-parts not in place", IF(INDEX(Questions!D:D, G102)="Partial", "Partially implemented / incomplete evidence", IF(INDEX(Questions!D:D, G102)="Not Yet", "Not implemented yet", IF(INDEX(Questions!D:D, G102)="", "Not yet answered (treated as Not Yet)", "Pending"))))))</f>
        <v/>
      </c>
      <c r="E102" s="65">
        <f>IF(G102="", "", IF(INDEX(Questions!I:I, G102)="3.5.3", 5, INDEX(Questions!L:L, G102)))</f>
        <v/>
      </c>
      <c r="F102" s="66">
        <f>IF(G102="", "", INDEX(Questions!M:M, G102))</f>
        <v/>
      </c>
      <c r="G102" s="27">
        <f>IFERROR(IF(SMALL(Gap_Slot_Range, ROW()-4)=-1, MATCH("3.12.4", Questions!A:A, 0), SMALL(Gap_Slot_Range, ROW()-4)), "")</f>
        <v/>
      </c>
    </row>
    <row r="103">
      <c r="A103" s="47">
        <f>IF(G103="", "", IF(INDEX(Questions!I:I, G103)="3.5.3", "3.5.3", INDEX(Questions!A:A, G103)))</f>
        <v/>
      </c>
      <c r="B103" s="65">
        <f>IF(G103="", "", INDEX(Questions!N:N, G103))</f>
        <v/>
      </c>
      <c r="C103" s="66">
        <f>IF(G103="", "", IF(INDEX(Questions!A:A, G103)="3.5.3a", "Multi-Factor Authentication — sub-parts failing: " &amp; INDEX(Questions!P:P, G103), INDEX(Questions!B:B, G103)))</f>
        <v/>
      </c>
      <c r="D103" s="66">
        <f>IF(G103="", "", IF(INDEX(Questions!A:A, G103)="3.12.4", "Gate control — score not calculable until SSP exists", IF(INDEX(Questions!A:A, G103)="3.5.3a", "One or more sub-parts not in place", IF(INDEX(Questions!D:D, G103)="Partial", "Partially implemented / incomplete evidence", IF(INDEX(Questions!D:D, G103)="Not Yet", "Not implemented yet", IF(INDEX(Questions!D:D, G103)="", "Not yet answered (treated as Not Yet)", "Pending"))))))</f>
        <v/>
      </c>
      <c r="E103" s="65">
        <f>IF(G103="", "", IF(INDEX(Questions!I:I, G103)="3.5.3", 5, INDEX(Questions!L:L, G103)))</f>
        <v/>
      </c>
      <c r="F103" s="66">
        <f>IF(G103="", "", INDEX(Questions!M:M, G103))</f>
        <v/>
      </c>
      <c r="G103" s="27">
        <f>IFERROR(IF(SMALL(Gap_Slot_Range, ROW()-4)=-1, MATCH("3.12.4", Questions!A:A, 0), SMALL(Gap_Slot_Range, ROW()-4)), "")</f>
        <v/>
      </c>
    </row>
    <row r="104">
      <c r="A104" s="47">
        <f>IF(G104="", "", IF(INDEX(Questions!I:I, G104)="3.5.3", "3.5.3", INDEX(Questions!A:A, G104)))</f>
        <v/>
      </c>
      <c r="B104" s="65">
        <f>IF(G104="", "", INDEX(Questions!N:N, G104))</f>
        <v/>
      </c>
      <c r="C104" s="66">
        <f>IF(G104="", "", IF(INDEX(Questions!A:A, G104)="3.5.3a", "Multi-Factor Authentication — sub-parts failing: " &amp; INDEX(Questions!P:P, G104), INDEX(Questions!B:B, G104)))</f>
        <v/>
      </c>
      <c r="D104" s="66">
        <f>IF(G104="", "", IF(INDEX(Questions!A:A, G104)="3.12.4", "Gate control — score not calculable until SSP exists", IF(INDEX(Questions!A:A, G104)="3.5.3a", "One or more sub-parts not in place", IF(INDEX(Questions!D:D, G104)="Partial", "Partially implemented / incomplete evidence", IF(INDEX(Questions!D:D, G104)="Not Yet", "Not implemented yet", IF(INDEX(Questions!D:D, G104)="", "Not yet answered (treated as Not Yet)", "Pending"))))))</f>
        <v/>
      </c>
      <c r="E104" s="65">
        <f>IF(G104="", "", IF(INDEX(Questions!I:I, G104)="3.5.3", 5, INDEX(Questions!L:L, G104)))</f>
        <v/>
      </c>
      <c r="F104" s="66">
        <f>IF(G104="", "", INDEX(Questions!M:M, G104))</f>
        <v/>
      </c>
      <c r="G104" s="27">
        <f>IFERROR(IF(SMALL(Gap_Slot_Range, ROW()-4)=-1, MATCH("3.12.4", Questions!A:A, 0), SMALL(Gap_Slot_Range, ROW()-4)), "")</f>
        <v/>
      </c>
    </row>
    <row r="105">
      <c r="A105" s="47">
        <f>IF(G105="", "", IF(INDEX(Questions!I:I, G105)="3.5.3", "3.5.3", INDEX(Questions!A:A, G105)))</f>
        <v/>
      </c>
      <c r="B105" s="65">
        <f>IF(G105="", "", INDEX(Questions!N:N, G105))</f>
        <v/>
      </c>
      <c r="C105" s="66">
        <f>IF(G105="", "", IF(INDEX(Questions!A:A, G105)="3.5.3a", "Multi-Factor Authentication — sub-parts failing: " &amp; INDEX(Questions!P:P, G105), INDEX(Questions!B:B, G105)))</f>
        <v/>
      </c>
      <c r="D105" s="66">
        <f>IF(G105="", "", IF(INDEX(Questions!A:A, G105)="3.12.4", "Gate control — score not calculable until SSP exists", IF(INDEX(Questions!A:A, G105)="3.5.3a", "One or more sub-parts not in place", IF(INDEX(Questions!D:D, G105)="Partial", "Partially implemented / incomplete evidence", IF(INDEX(Questions!D:D, G105)="Not Yet", "Not implemented yet", IF(INDEX(Questions!D:D, G105)="", "Not yet answered (treated as Not Yet)", "Pending"))))))</f>
        <v/>
      </c>
      <c r="E105" s="65">
        <f>IF(G105="", "", IF(INDEX(Questions!I:I, G105)="3.5.3", 5, INDEX(Questions!L:L, G105)))</f>
        <v/>
      </c>
      <c r="F105" s="66">
        <f>IF(G105="", "", INDEX(Questions!M:M, G105))</f>
        <v/>
      </c>
      <c r="G105" s="27">
        <f>IFERROR(IF(SMALL(Gap_Slot_Range, ROW()-4)=-1, MATCH("3.12.4", Questions!A:A, 0), SMALL(Gap_Slot_Range, ROW()-4)), "")</f>
        <v/>
      </c>
    </row>
    <row r="106">
      <c r="A106" s="47">
        <f>IF(G106="", "", IF(INDEX(Questions!I:I, G106)="3.5.3", "3.5.3", INDEX(Questions!A:A, G106)))</f>
        <v/>
      </c>
      <c r="B106" s="65">
        <f>IF(G106="", "", INDEX(Questions!N:N, G106))</f>
        <v/>
      </c>
      <c r="C106" s="66">
        <f>IF(G106="", "", IF(INDEX(Questions!A:A, G106)="3.5.3a", "Multi-Factor Authentication — sub-parts failing: " &amp; INDEX(Questions!P:P, G106), INDEX(Questions!B:B, G106)))</f>
        <v/>
      </c>
      <c r="D106" s="66">
        <f>IF(G106="", "", IF(INDEX(Questions!A:A, G106)="3.12.4", "Gate control — score not calculable until SSP exists", IF(INDEX(Questions!A:A, G106)="3.5.3a", "One or more sub-parts not in place", IF(INDEX(Questions!D:D, G106)="Partial", "Partially implemented / incomplete evidence", IF(INDEX(Questions!D:D, G106)="Not Yet", "Not implemented yet", IF(INDEX(Questions!D:D, G106)="", "Not yet answered (treated as Not Yet)", "Pending"))))))</f>
        <v/>
      </c>
      <c r="E106" s="65">
        <f>IF(G106="", "", IF(INDEX(Questions!I:I, G106)="3.5.3", 5, INDEX(Questions!L:L, G106)))</f>
        <v/>
      </c>
      <c r="F106" s="66">
        <f>IF(G106="", "", INDEX(Questions!M:M, G106))</f>
        <v/>
      </c>
      <c r="G106" s="27">
        <f>IFERROR(IF(SMALL(Gap_Slot_Range, ROW()-4)=-1, MATCH("3.12.4", Questions!A:A, 0), SMALL(Gap_Slot_Range, ROW()-4)), "")</f>
        <v/>
      </c>
    </row>
    <row r="107">
      <c r="A107" s="47">
        <f>IF(G107="", "", IF(INDEX(Questions!I:I, G107)="3.5.3", "3.5.3", INDEX(Questions!A:A, G107)))</f>
        <v/>
      </c>
      <c r="B107" s="65">
        <f>IF(G107="", "", INDEX(Questions!N:N, G107))</f>
        <v/>
      </c>
      <c r="C107" s="66">
        <f>IF(G107="", "", IF(INDEX(Questions!A:A, G107)="3.5.3a", "Multi-Factor Authentication — sub-parts failing: " &amp; INDEX(Questions!P:P, G107), INDEX(Questions!B:B, G107)))</f>
        <v/>
      </c>
      <c r="D107" s="66">
        <f>IF(G107="", "", IF(INDEX(Questions!A:A, G107)="3.12.4", "Gate control — score not calculable until SSP exists", IF(INDEX(Questions!A:A, G107)="3.5.3a", "One or more sub-parts not in place", IF(INDEX(Questions!D:D, G107)="Partial", "Partially implemented / incomplete evidence", IF(INDEX(Questions!D:D, G107)="Not Yet", "Not implemented yet", IF(INDEX(Questions!D:D, G107)="", "Not yet answered (treated as Not Yet)", "Pending"))))))</f>
        <v/>
      </c>
      <c r="E107" s="65">
        <f>IF(G107="", "", IF(INDEX(Questions!I:I, G107)="3.5.3", 5, INDEX(Questions!L:L, G107)))</f>
        <v/>
      </c>
      <c r="F107" s="66">
        <f>IF(G107="", "", INDEX(Questions!M:M, G107))</f>
        <v/>
      </c>
      <c r="G107" s="27">
        <f>IFERROR(IF(SMALL(Gap_Slot_Range, ROW()-4)=-1, MATCH("3.12.4", Questions!A:A, 0), SMALL(Gap_Slot_Range, ROW()-4)), "")</f>
        <v/>
      </c>
    </row>
    <row r="108">
      <c r="A108" s="47">
        <f>IF(G108="", "", IF(INDEX(Questions!I:I, G108)="3.5.3", "3.5.3", INDEX(Questions!A:A, G108)))</f>
        <v/>
      </c>
      <c r="B108" s="65">
        <f>IF(G108="", "", INDEX(Questions!N:N, G108))</f>
        <v/>
      </c>
      <c r="C108" s="66">
        <f>IF(G108="", "", IF(INDEX(Questions!A:A, G108)="3.5.3a", "Multi-Factor Authentication — sub-parts failing: " &amp; INDEX(Questions!P:P, G108), INDEX(Questions!B:B, G108)))</f>
        <v/>
      </c>
      <c r="D108" s="66">
        <f>IF(G108="", "", IF(INDEX(Questions!A:A, G108)="3.12.4", "Gate control — score not calculable until SSP exists", IF(INDEX(Questions!A:A, G108)="3.5.3a", "One or more sub-parts not in place", IF(INDEX(Questions!D:D, G108)="Partial", "Partially implemented / incomplete evidence", IF(INDEX(Questions!D:D, G108)="Not Yet", "Not implemented yet", IF(INDEX(Questions!D:D, G108)="", "Not yet answered (treated as Not Yet)", "Pending"))))))</f>
        <v/>
      </c>
      <c r="E108" s="65">
        <f>IF(G108="", "", IF(INDEX(Questions!I:I, G108)="3.5.3", 5, INDEX(Questions!L:L, G108)))</f>
        <v/>
      </c>
      <c r="F108" s="66">
        <f>IF(G108="", "", INDEX(Questions!M:M, G108))</f>
        <v/>
      </c>
      <c r="G108" s="27">
        <f>IFERROR(IF(SMALL(Gap_Slot_Range, ROW()-4)=-1, MATCH("3.12.4", Questions!A:A, 0), SMALL(Gap_Slot_Range, ROW()-4)), "")</f>
        <v/>
      </c>
    </row>
    <row r="109">
      <c r="A109" s="47">
        <f>IF(G109="", "", IF(INDEX(Questions!I:I, G109)="3.5.3", "3.5.3", INDEX(Questions!A:A, G109)))</f>
        <v/>
      </c>
      <c r="B109" s="65">
        <f>IF(G109="", "", INDEX(Questions!N:N, G109))</f>
        <v/>
      </c>
      <c r="C109" s="66">
        <f>IF(G109="", "", IF(INDEX(Questions!A:A, G109)="3.5.3a", "Multi-Factor Authentication — sub-parts failing: " &amp; INDEX(Questions!P:P, G109), INDEX(Questions!B:B, G109)))</f>
        <v/>
      </c>
      <c r="D109" s="66">
        <f>IF(G109="", "", IF(INDEX(Questions!A:A, G109)="3.12.4", "Gate control — score not calculable until SSP exists", IF(INDEX(Questions!A:A, G109)="3.5.3a", "One or more sub-parts not in place", IF(INDEX(Questions!D:D, G109)="Partial", "Partially implemented / incomplete evidence", IF(INDEX(Questions!D:D, G109)="Not Yet", "Not implemented yet", IF(INDEX(Questions!D:D, G109)="", "Not yet answered (treated as Not Yet)", "Pending"))))))</f>
        <v/>
      </c>
      <c r="E109" s="65">
        <f>IF(G109="", "", IF(INDEX(Questions!I:I, G109)="3.5.3", 5, INDEX(Questions!L:L, G109)))</f>
        <v/>
      </c>
      <c r="F109" s="66">
        <f>IF(G109="", "", INDEX(Questions!M:M, G109))</f>
        <v/>
      </c>
      <c r="G109" s="27">
        <f>IFERROR(IF(SMALL(Gap_Slot_Range, ROW()-4)=-1, MATCH("3.12.4", Questions!A:A, 0), SMALL(Gap_Slot_Range, ROW()-4)), "")</f>
        <v/>
      </c>
    </row>
    <row r="110">
      <c r="A110" s="47">
        <f>IF(G110="", "", IF(INDEX(Questions!I:I, G110)="3.5.3", "3.5.3", INDEX(Questions!A:A, G110)))</f>
        <v/>
      </c>
      <c r="B110" s="65">
        <f>IF(G110="", "", INDEX(Questions!N:N, G110))</f>
        <v/>
      </c>
      <c r="C110" s="66">
        <f>IF(G110="", "", IF(INDEX(Questions!A:A, G110)="3.5.3a", "Multi-Factor Authentication — sub-parts failing: " &amp; INDEX(Questions!P:P, G110), INDEX(Questions!B:B, G110)))</f>
        <v/>
      </c>
      <c r="D110" s="66">
        <f>IF(G110="", "", IF(INDEX(Questions!A:A, G110)="3.12.4", "Gate control — score not calculable until SSP exists", IF(INDEX(Questions!A:A, G110)="3.5.3a", "One or more sub-parts not in place", IF(INDEX(Questions!D:D, G110)="Partial", "Partially implemented / incomplete evidence", IF(INDEX(Questions!D:D, G110)="Not Yet", "Not implemented yet", IF(INDEX(Questions!D:D, G110)="", "Not yet answered (treated as Not Yet)", "Pending"))))))</f>
        <v/>
      </c>
      <c r="E110" s="65">
        <f>IF(G110="", "", IF(INDEX(Questions!I:I, G110)="3.5.3", 5, INDEX(Questions!L:L, G110)))</f>
        <v/>
      </c>
      <c r="F110" s="66">
        <f>IF(G110="", "", INDEX(Questions!M:M, G110))</f>
        <v/>
      </c>
      <c r="G110" s="27">
        <f>IFERROR(IF(SMALL(Gap_Slot_Range, ROW()-4)=-1, MATCH("3.12.4", Questions!A:A, 0), SMALL(Gap_Slot_Range, ROW()-4)), "")</f>
        <v/>
      </c>
    </row>
    <row r="111">
      <c r="A111" s="47">
        <f>IF(G111="", "", IF(INDEX(Questions!I:I, G111)="3.5.3", "3.5.3", INDEX(Questions!A:A, G111)))</f>
        <v/>
      </c>
      <c r="B111" s="65">
        <f>IF(G111="", "", INDEX(Questions!N:N, G111))</f>
        <v/>
      </c>
      <c r="C111" s="66">
        <f>IF(G111="", "", IF(INDEX(Questions!A:A, G111)="3.5.3a", "Multi-Factor Authentication — sub-parts failing: " &amp; INDEX(Questions!P:P, G111), INDEX(Questions!B:B, G111)))</f>
        <v/>
      </c>
      <c r="D111" s="66">
        <f>IF(G111="", "", IF(INDEX(Questions!A:A, G111)="3.12.4", "Gate control — score not calculable until SSP exists", IF(INDEX(Questions!A:A, G111)="3.5.3a", "One or more sub-parts not in place", IF(INDEX(Questions!D:D, G111)="Partial", "Partially implemented / incomplete evidence", IF(INDEX(Questions!D:D, G111)="Not Yet", "Not implemented yet", IF(INDEX(Questions!D:D, G111)="", "Not yet answered (treated as Not Yet)", "Pending"))))))</f>
        <v/>
      </c>
      <c r="E111" s="65">
        <f>IF(G111="", "", IF(INDEX(Questions!I:I, G111)="3.5.3", 5, INDEX(Questions!L:L, G111)))</f>
        <v/>
      </c>
      <c r="F111" s="66">
        <f>IF(G111="", "", INDEX(Questions!M:M, G111))</f>
        <v/>
      </c>
      <c r="G111" s="27">
        <f>IFERROR(IF(SMALL(Gap_Slot_Range, ROW()-4)=-1, MATCH("3.12.4", Questions!A:A, 0), SMALL(Gap_Slot_Range, ROW()-4)), "")</f>
        <v/>
      </c>
    </row>
    <row r="112">
      <c r="A112" s="47">
        <f>IF(G112="", "", IF(INDEX(Questions!I:I, G112)="3.5.3", "3.5.3", INDEX(Questions!A:A, G112)))</f>
        <v/>
      </c>
      <c r="B112" s="65">
        <f>IF(G112="", "", INDEX(Questions!N:N, G112))</f>
        <v/>
      </c>
      <c r="C112" s="66">
        <f>IF(G112="", "", IF(INDEX(Questions!A:A, G112)="3.5.3a", "Multi-Factor Authentication — sub-parts failing: " &amp; INDEX(Questions!P:P, G112), INDEX(Questions!B:B, G112)))</f>
        <v/>
      </c>
      <c r="D112" s="66">
        <f>IF(G112="", "", IF(INDEX(Questions!A:A, G112)="3.12.4", "Gate control — score not calculable until SSP exists", IF(INDEX(Questions!A:A, G112)="3.5.3a", "One or more sub-parts not in place", IF(INDEX(Questions!D:D, G112)="Partial", "Partially implemented / incomplete evidence", IF(INDEX(Questions!D:D, G112)="Not Yet", "Not implemented yet", IF(INDEX(Questions!D:D, G112)="", "Not yet answered (treated as Not Yet)", "Pending"))))))</f>
        <v/>
      </c>
      <c r="E112" s="65">
        <f>IF(G112="", "", IF(INDEX(Questions!I:I, G112)="3.5.3", 5, INDEX(Questions!L:L, G112)))</f>
        <v/>
      </c>
      <c r="F112" s="66">
        <f>IF(G112="", "", INDEX(Questions!M:M, G112))</f>
        <v/>
      </c>
      <c r="G112" s="27">
        <f>IFERROR(IF(SMALL(Gap_Slot_Range, ROW()-4)=-1, MATCH("3.12.4", Questions!A:A, 0), SMALL(Gap_Slot_Range, ROW()-4)), "")</f>
        <v/>
      </c>
    </row>
    <row r="113">
      <c r="A113" s="47">
        <f>IF(G113="", "", IF(INDEX(Questions!I:I, G113)="3.5.3", "3.5.3", INDEX(Questions!A:A, G113)))</f>
        <v/>
      </c>
      <c r="B113" s="65">
        <f>IF(G113="", "", INDEX(Questions!N:N, G113))</f>
        <v/>
      </c>
      <c r="C113" s="66">
        <f>IF(G113="", "", IF(INDEX(Questions!A:A, G113)="3.5.3a", "Multi-Factor Authentication — sub-parts failing: " &amp; INDEX(Questions!P:P, G113), INDEX(Questions!B:B, G113)))</f>
        <v/>
      </c>
      <c r="D113" s="66">
        <f>IF(G113="", "", IF(INDEX(Questions!A:A, G113)="3.12.4", "Gate control — score not calculable until SSP exists", IF(INDEX(Questions!A:A, G113)="3.5.3a", "One or more sub-parts not in place", IF(INDEX(Questions!D:D, G113)="Partial", "Partially implemented / incomplete evidence", IF(INDEX(Questions!D:D, G113)="Not Yet", "Not implemented yet", IF(INDEX(Questions!D:D, G113)="", "Not yet answered (treated as Not Yet)", "Pending"))))))</f>
        <v/>
      </c>
      <c r="E113" s="65">
        <f>IF(G113="", "", IF(INDEX(Questions!I:I, G113)="3.5.3", 5, INDEX(Questions!L:L, G113)))</f>
        <v/>
      </c>
      <c r="F113" s="66">
        <f>IF(G113="", "", INDEX(Questions!M:M, G113))</f>
        <v/>
      </c>
      <c r="G113" s="27">
        <f>IFERROR(IF(SMALL(Gap_Slot_Range, ROW()-4)=-1, MATCH("3.12.4", Questions!A:A, 0), SMALL(Gap_Slot_Range, ROW()-4)), "")</f>
        <v/>
      </c>
    </row>
    <row r="114">
      <c r="A114" s="47">
        <f>IF(G114="", "", IF(INDEX(Questions!I:I, G114)="3.5.3", "3.5.3", INDEX(Questions!A:A, G114)))</f>
        <v/>
      </c>
      <c r="B114" s="65">
        <f>IF(G114="", "", INDEX(Questions!N:N, G114))</f>
        <v/>
      </c>
      <c r="C114" s="66">
        <f>IF(G114="", "", IF(INDEX(Questions!A:A, G114)="3.5.3a", "Multi-Factor Authentication — sub-parts failing: " &amp; INDEX(Questions!P:P, G114), INDEX(Questions!B:B, G114)))</f>
        <v/>
      </c>
      <c r="D114" s="66">
        <f>IF(G114="", "", IF(INDEX(Questions!A:A, G114)="3.12.4", "Gate control — score not calculable until SSP exists", IF(INDEX(Questions!A:A, G114)="3.5.3a", "One or more sub-parts not in place", IF(INDEX(Questions!D:D, G114)="Partial", "Partially implemented / incomplete evidence", IF(INDEX(Questions!D:D, G114)="Not Yet", "Not implemented yet", IF(INDEX(Questions!D:D, G114)="", "Not yet answered (treated as Not Yet)", "Pending"))))))</f>
        <v/>
      </c>
      <c r="E114" s="65">
        <f>IF(G114="", "", IF(INDEX(Questions!I:I, G114)="3.5.3", 5, INDEX(Questions!L:L, G114)))</f>
        <v/>
      </c>
      <c r="F114" s="66">
        <f>IF(G114="", "", INDEX(Questions!M:M, G114))</f>
        <v/>
      </c>
      <c r="G114" s="27">
        <f>IFERROR(IF(SMALL(Gap_Slot_Range, ROW()-4)=-1, MATCH("3.12.4", Questions!A:A, 0), SMALL(Gap_Slot_Range, ROW()-4)), "")</f>
        <v/>
      </c>
    </row>
    <row r="115">
      <c r="A115" s="47">
        <f>IF(G115="", "", IF(INDEX(Questions!I:I, G115)="3.5.3", "3.5.3", INDEX(Questions!A:A, G115)))</f>
        <v/>
      </c>
      <c r="B115" s="65">
        <f>IF(G115="", "", INDEX(Questions!N:N, G115))</f>
        <v/>
      </c>
      <c r="C115" s="66">
        <f>IF(G115="", "", IF(INDEX(Questions!A:A, G115)="3.5.3a", "Multi-Factor Authentication — sub-parts failing: " &amp; INDEX(Questions!P:P, G115), INDEX(Questions!B:B, G115)))</f>
        <v/>
      </c>
      <c r="D115" s="66">
        <f>IF(G115="", "", IF(INDEX(Questions!A:A, G115)="3.12.4", "Gate control — score not calculable until SSP exists", IF(INDEX(Questions!A:A, G115)="3.5.3a", "One or more sub-parts not in place", IF(INDEX(Questions!D:D, G115)="Partial", "Partially implemented / incomplete evidence", IF(INDEX(Questions!D:D, G115)="Not Yet", "Not implemented yet", IF(INDEX(Questions!D:D, G115)="", "Not yet answered (treated as Not Yet)", "Pending"))))))</f>
        <v/>
      </c>
      <c r="E115" s="65">
        <f>IF(G115="", "", IF(INDEX(Questions!I:I, G115)="3.5.3", 5, INDEX(Questions!L:L, G115)))</f>
        <v/>
      </c>
      <c r="F115" s="66">
        <f>IF(G115="", "", INDEX(Questions!M:M, G115))</f>
        <v/>
      </c>
      <c r="G115" s="27">
        <f>IFERROR(IF(SMALL(Gap_Slot_Range, ROW()-4)=-1, MATCH("3.12.4", Questions!A:A, 0), SMALL(Gap_Slot_Range, ROW()-4)), "")</f>
        <v/>
      </c>
    </row>
  </sheetData>
  <sheetProtection selectLockedCells="0" selectUnlockedCells="0" sheet="1" objects="1" insertRows="1" insertHyperlinks="1" autoFilter="0" scenarios="1" formatColumns="0" deleteColumns="1" insertColumns="1" pivotTables="1" deleteRows="1" formatCells="0" formatRows="0" sort="1" password="EAC5"/>
  <autoFilter ref="A4:F115"/>
  <mergeCells count="2">
    <mergeCell ref="A2:F2"/>
    <mergeCell ref="A1:F1"/>
  </mergeCells>
  <printOptions horizontalCentered="1" verticalCentered="0" headings="0" gridLines="0" gridLinesSet="1"/>
  <pageMargins left="0.7" right="0.7" top="0.75" bottom="0.75" header="0.3" footer="0.3"/>
  <pageSetup orientation="landscape" paperSize="1" scale="100" fitToHeight="0"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B6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5" customWidth="1" style="27" min="1" max="1"/>
    <col width="110" customWidth="1" style="28" min="2" max="2"/>
  </cols>
  <sheetData>
    <row r="1" ht="30" customHeight="1" s="28">
      <c r="A1" s="29" t="n"/>
      <c r="B1" s="118" t="inlineStr">
        <is>
          <t>About this Tool</t>
        </is>
      </c>
    </row>
    <row r="2">
      <c r="A2" s="66" t="n"/>
    </row>
    <row r="3" ht="17.25" customHeight="1" s="28">
      <c r="A3" s="67" t="n"/>
      <c r="B3" s="103" t="inlineStr">
        <is>
          <t>What this tool covers</t>
        </is>
      </c>
    </row>
    <row r="4" ht="80" customHeight="1" s="28">
      <c r="A4" s="66" t="n"/>
      <c r="B4" s="66" t="inlineStr">
        <is>
          <t>DARS Compass — CMMC Readiness Scan covers all 110 NIST SP 800-171 Rev. 2 controls (CMMC Level 2).  The 110 controls are surfaced as 113 questions because one control — 3.5.3 (Multi-Factor Authentication) — is decomposed into four scoped sub-parts (privileged local access, privileged network access, standard-staff network access, legacy auth blocked) so you can see exactly which MFA scope is missing rather than just "MFA is broken somewhere."</t>
        </is>
      </c>
    </row>
    <row r="5" ht="32" customHeight="1" s="28">
      <c r="A5" s="66" t="n"/>
      <c r="B5" s="66" t="n"/>
    </row>
    <row r="6">
      <c r="A6" s="66" t="n"/>
    </row>
    <row r="7" ht="17.25" customHeight="1" s="28">
      <c r="A7" s="67" t="n"/>
      <c r="B7" s="103" t="inlineStr">
        <is>
          <t>How answers map to scoring</t>
        </is>
      </c>
    </row>
    <row r="8" ht="15" customHeight="1" s="28">
      <c r="A8" s="66" t="n"/>
      <c r="B8" s="66" t="inlineStr">
        <is>
          <t>Yes  →  No deduction.  Evidence exists and could be produced today.</t>
        </is>
      </c>
    </row>
    <row r="9" ht="32" customHeight="1" s="28">
      <c r="A9" s="66" t="n"/>
      <c r="B9" s="66" t="inlineStr">
        <is>
          <t>Partial  →  Full deduction (same impact as Not Yet).  Some evidence exists but is incomplete.  Control fails.</t>
        </is>
      </c>
    </row>
    <row r="10" ht="32" customHeight="1" s="28">
      <c r="A10" s="66" t="n"/>
      <c r="B10" s="66" t="inlineStr">
        <is>
          <t>Not Yet  →  Full deduction.  Evidence does not yet exist.  Control fails.</t>
        </is>
      </c>
    </row>
    <row r="11" ht="96" customHeight="1" s="28">
      <c r="A11" s="66" t="n"/>
      <c r="B11" s="66" t="inlineStr">
        <is>
          <t>Blank (unanswered)  →  Treated as Not Yet for scoring.  Unanswered questions deduct full weight.  This is why the gauge starts at "SSP Required" and shows the lowest possible score once you confirm 3.12.4 = Yes.  The behavior you see here follows the original design for this tool: a three-state response model (Yes / Partial / Not Yet) mapped to the official DoD SPRS scoring rules.  It gives you an honest starting view rather than a misleadingly optimistic 110.</t>
        </is>
      </c>
    </row>
    <row r="12" ht="64" customHeight="1" s="28">
      <c r="A12" s="66" t="n"/>
      <c r="B12" s="66" t="inlineStr">
        <is>
          <t>The DoD SPRS methodology gives no partial credit — a control either is or is not implemented.  The Gap Report distinguishes Partial from Not Yet in its language so you know which controls need formalization (Partial) versus implementation from scratch (Not Yet), but both deduct the same number of points.</t>
        </is>
      </c>
    </row>
    <row r="13" ht="64" customHeight="1" s="28">
      <c r="A13" s="66" t="n"/>
    </row>
    <row r="14">
      <c r="A14" s="66" t="n"/>
    </row>
    <row r="15" ht="17.25" customHeight="1" s="28">
      <c r="A15" s="67" t="n"/>
      <c r="B15" s="103" t="inlineStr">
        <is>
          <t>Data and sovereignty</t>
        </is>
      </c>
    </row>
    <row r="16" ht="32" customHeight="1" s="28">
      <c r="A16" s="66" t="n"/>
      <c r="B16" s="66" t="inlineStr">
        <is>
          <t>This workbook runs entirely in your spreadsheet application.  Your answers, scores, and Gap Report stay in this file; DARS never sees your data unless you choose to send it to us.</t>
        </is>
      </c>
    </row>
    <row r="17" ht="46" customHeight="1" s="28">
      <c r="A17" s="66" t="n"/>
      <c r="B17" s="92" t="inlineStr">
        <is>
          <t>Note on sorting:  answer rows must stay in their original order — the Gap Report relies on it. Sorting is blocked while the sheet is protected, and the Dashboard warns if the order ever changes. Row heights and column widths are yours to adjust.</t>
        </is>
      </c>
    </row>
    <row r="18">
      <c r="A18" s="67" t="n"/>
      <c r="B18" s="103" t="inlineStr">
        <is>
          <t>What this free workbook includes</t>
        </is>
      </c>
    </row>
    <row r="19" ht="32" customHeight="1" s="28">
      <c r="A19" s="66" t="n"/>
      <c r="B19" s="66" t="inlineStr">
        <is>
          <t>•  Questions for all 110 NIST SP 800-171 controls (rendered as 113 rows, including sub-controls).</t>
        </is>
      </c>
    </row>
    <row r="20">
      <c r="A20" s="66" t="n"/>
      <c r="B20" s="66" t="inlineStr">
        <is>
          <t>•  An estimated SPRS score aligned with the DoD methodology.</t>
        </is>
      </c>
    </row>
    <row r="21" ht="16" customHeight="1" s="28">
      <c r="A21" s="66" t="n"/>
      <c r="B21" s="66" t="inlineStr">
        <is>
          <t>•  A Gap Report highlighting failing controls and suggested next steps.</t>
        </is>
      </c>
    </row>
    <row r="22">
      <c r="A22" s="66" t="n"/>
    </row>
    <row r="23">
      <c r="A23" s="67" t="n"/>
      <c r="B23" s="103" t="inlineStr">
        <is>
          <t>What a paid engagement with DARS can add</t>
        </is>
      </c>
    </row>
    <row r="24" ht="16" customHeight="1" s="28">
      <c r="A24" s="66" t="n"/>
      <c r="B24" s="66" t="inlineStr">
        <is>
          <t>•  A formal System Security Plan (SSP) and POA&amp;M based on your answers.</t>
        </is>
      </c>
    </row>
    <row r="25" ht="32" customHeight="1" s="28">
      <c r="A25" s="66" t="n"/>
      <c r="B25" s="66" t="inlineStr">
        <is>
          <t>•  Review and refinement of your evidence for audit readiness.</t>
        </is>
      </c>
    </row>
    <row r="26" ht="16" customHeight="1" s="28">
      <c r="A26" s="66" t="n"/>
      <c r="B26" s="66" t="inlineStr">
        <is>
          <t>•  Ongoing support for DFARS / CMMC-related questions.</t>
        </is>
      </c>
    </row>
    <row r="27">
      <c r="A27" s="66" t="inlineStr"/>
    </row>
    <row r="28" ht="32" customHeight="1" s="28">
      <c r="A28" s="66" t="n"/>
      <c r="B28" s="66" t="inlineStr">
        <is>
          <t>If you'd like help turning this diagnostic into a formal SSP and POA&amp;M, you can contact DARS using the email at the bottom of this tab.</t>
        </is>
      </c>
    </row>
    <row r="29" ht="48" customHeight="1" s="28">
      <c r="A29" s="76" t="n"/>
      <c r="B29" s="76" t="inlineStr">
        <is>
          <t>This tool intentionally does not name commercial or open-source products — product fit and licensing change too often to maintain in a free workbook. If you need help choosing tooling for a control, that is a conversation for a paid engagement, not this free analyzer.</t>
        </is>
      </c>
    </row>
    <row r="30">
      <c r="A30" s="66" t="n"/>
    </row>
    <row r="31" ht="17.25" customHeight="1" s="28">
      <c r="A31" s="67" t="n"/>
      <c r="B31" s="103" t="inlineStr">
        <is>
          <t>Methodology and sources</t>
        </is>
      </c>
    </row>
    <row r="32" ht="32" customHeight="1" s="28">
      <c r="A32" s="66" t="n"/>
      <c r="B32" s="66" t="inlineStr">
        <is>
          <t>Scoring math follows the DoD NIST SP 800-171 Assessment Methodology v1.2.1 (June 24, 2020).</t>
        </is>
      </c>
    </row>
    <row r="33" ht="32" customHeight="1" s="28">
      <c r="A33" s="66" t="n"/>
      <c r="B33" s="66" t="inlineStr">
        <is>
          <t>Question wording, evidence guidance, and remediation hints are from the DARS Compass Content Library v1.29.2 (locked October 4, 2026).</t>
        </is>
      </c>
    </row>
    <row r="34" ht="16" customHeight="1" s="28">
      <c r="A34" s="66" t="n"/>
      <c r="B34" s="66" t="inlineStr">
        <is>
          <t>All 110 controls map directly to NIST SP 800-171 Rev. 2 and CMMC Level 2 requirements.</t>
        </is>
      </c>
    </row>
    <row r="35" ht="48" customHeight="1" s="28">
      <c r="A35" s="66" t="n"/>
      <c r="B35" s="66" t="inlineStr">
        <is>
          <t>3.12.4 (System Security Plan) is treated as a gate control per DoD Methodology Section 5(g)(i) — absence of an SSP means the assessment cannot be completed.  In this tool, that is rendered as "SSP Required" in the gauge until 3.12.4 is answered Yes.</t>
        </is>
      </c>
    </row>
    <row r="36" ht="48" customHeight="1" s="28">
      <c r="A36" s="66" t="n"/>
    </row>
    <row r="37" ht="15" customHeight="1" s="28">
      <c r="A37" s="66" t="n"/>
    </row>
    <row r="38">
      <c r="A38" s="67" t="n"/>
      <c r="B38" s="103" t="inlineStr">
        <is>
          <t>Version and file integrity</t>
        </is>
      </c>
    </row>
    <row r="39">
      <c r="A39" s="66" t="n"/>
      <c r="B39" s="66" t="inlineStr">
        <is>
          <t>Tool version:  1.0 (Free Tool Track)</t>
        </is>
      </c>
    </row>
    <row r="40">
      <c r="A40" s="66" t="n"/>
      <c r="B40" s="66" t="inlineStr">
        <is>
          <t>Content library version:  v1.29.2 (locked October 4, 2026)</t>
        </is>
      </c>
    </row>
    <row r="41">
      <c r="A41" s="66" t="n"/>
      <c r="B41" s="66" t="inlineStr">
        <is>
          <t>File integrity (SHA-256):  published at darsgrc.com alongside the download — generated at release.</t>
        </is>
      </c>
    </row>
    <row r="42" ht="16" customHeight="1" s="28">
      <c r="A42" s="66" t="n"/>
      <c r="B42" s="66" t="inlineStr">
        <is>
          <t>Verify the hash matches the value published at darsgrc.com before trusting this file.</t>
        </is>
      </c>
    </row>
    <row r="43" ht="16" customHeight="1" s="28">
      <c r="A43" s="66" t="n"/>
    </row>
    <row r="44">
      <c r="A44" s="67" t="n"/>
      <c r="B44" s="103" t="inlineStr">
        <is>
          <t>Contact DARS</t>
        </is>
      </c>
    </row>
    <row r="45" ht="32" customHeight="1" s="28">
      <c r="A45" s="66" t="n"/>
      <c r="B45" s="66" t="inlineStr">
        <is>
          <t>For questions about this workbook, or to turn these results into a formal SSP and POA&amp;M, email info@darsgrc.com.</t>
        </is>
      </c>
    </row>
    <row r="46" ht="32" customHeight="1" s="28">
      <c r="A46" s="66" t="inlineStr"/>
      <c r="B46" s="92" t="inlineStr">
        <is>
          <t>Spotted an error in a question, a hint, or the scoring? Email the same address. Corrections are welcome and go into the next release.</t>
        </is>
      </c>
    </row>
    <row r="47">
      <c r="A47" s="69" t="n"/>
      <c r="B47" s="104" t="inlineStr">
        <is>
          <t>DARS — no shelfware, no false comfort.</t>
        </is>
      </c>
    </row>
    <row r="48" ht="48" customHeight="1" s="28">
      <c r="A48" s="66" t="n"/>
    </row>
    <row r="49">
      <c r="A49" s="66" t="n"/>
    </row>
    <row r="50" ht="32" customHeight="1" s="28">
      <c r="A50" s="66" t="n"/>
    </row>
    <row r="51">
      <c r="A51" s="66" t="n"/>
    </row>
    <row r="52">
      <c r="A52" s="66" t="n"/>
    </row>
    <row r="53">
      <c r="A53" s="66" t="n"/>
    </row>
    <row r="54">
      <c r="A54" s="66" t="n"/>
    </row>
    <row r="55">
      <c r="A55" s="66" t="n"/>
    </row>
    <row r="56">
      <c r="A56" s="66" t="n"/>
    </row>
    <row r="57">
      <c r="A57" s="66" t="n"/>
    </row>
    <row r="58">
      <c r="A58" s="66" t="n"/>
    </row>
    <row r="59">
      <c r="A59" s="66" t="n"/>
    </row>
    <row r="61">
      <c r="B61" s="116" t="n"/>
    </row>
    <row r="62" ht="32" customHeight="1" s="28">
      <c r="B62" s="92" t="n"/>
    </row>
  </sheetData>
  <sheetProtection selectLockedCells="0" selectUnlockedCells="0" sheet="1" objects="1" insertRows="1" insertHyperlinks="1" autoFilter="0" scenarios="1" formatColumns="0" deleteColumns="1" insertColumns="1" pivotTables="1" deleteRows="1" formatCells="0" formatRows="0" sort="1" password="EAC5"/>
  <mergeCells count="1">
    <mergeCell ref="B1"/>
  </mergeCells>
  <printOptions horizontalCentered="1" verticalCentered="0" headings="0" gridLines="0" gridLinesSet="1"/>
  <pageMargins left="0.7" right="0.7" top="0.75" bottom="0.75" header="0.3" footer="0.3"/>
  <pageSetup orientation="portrait" paperSize="1" scale="100" fitToHeight="0"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J114"/>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2" customWidth="1" style="27" min="1" max="1"/>
    <col width="10" customWidth="1" style="27" min="2" max="2"/>
    <col width="22" customWidth="1" style="27" min="3" max="3"/>
    <col width="30" customWidth="1" style="27" min="4" max="4"/>
    <col width="50" customWidth="1" style="27" min="5" max="6"/>
    <col width="12" customWidth="1" style="27" min="7" max="7"/>
    <col width="50" customWidth="1" style="27" min="8" max="8"/>
    <col width="40" customWidth="1" style="27" min="9" max="9"/>
    <col width="14" customWidth="1" style="27" min="10" max="10"/>
  </cols>
  <sheetData>
    <row r="1" ht="15" customHeight="1" s="28">
      <c r="A1" s="61" t="inlineStr">
        <is>
          <t>Control ID</t>
        </is>
      </c>
      <c r="B1" s="61" t="inlineStr">
        <is>
          <t>Family Code</t>
        </is>
      </c>
      <c r="C1" s="61" t="inlineStr">
        <is>
          <t>Family Name</t>
        </is>
      </c>
      <c r="D1" s="61" t="inlineStr">
        <is>
          <t>Title</t>
        </is>
      </c>
      <c r="E1" s="61" t="inlineStr">
        <is>
          <t>Requirement Text</t>
        </is>
      </c>
      <c r="F1" s="61" t="inlineStr">
        <is>
          <t>Question</t>
        </is>
      </c>
      <c r="G1" s="61" t="inlineStr">
        <is>
          <t>SPRS Weight</t>
        </is>
      </c>
      <c r="H1" s="61" t="inlineStr">
        <is>
          <t>Hint</t>
        </is>
      </c>
      <c r="I1" s="61" t="n"/>
      <c r="J1" s="61" t="inlineStr">
        <is>
          <t>Sub_Row_Parent</t>
        </is>
      </c>
    </row>
    <row r="2" ht="77.59999999999999" customHeight="1" s="28">
      <c r="A2" s="62" t="inlineStr">
        <is>
          <t>3.1.1</t>
        </is>
      </c>
      <c r="B2" s="62" t="inlineStr">
        <is>
          <t>AC</t>
        </is>
      </c>
      <c r="C2" s="62" t="inlineStr">
        <is>
          <t>Access Control</t>
        </is>
      </c>
      <c r="D2" s="62" t="inlineStr">
        <is>
          <t>Limit system access to authorized users</t>
        </is>
      </c>
      <c r="E2" s="62" t="inlineStr">
        <is>
          <t>Limit system access to authorized users, processes acting on behalf of authorized users, and devices (including other systems).</t>
        </is>
      </c>
      <c r="F2" s="62" t="inlineStr">
        <is>
          <t>Can you produce an export from your identity system showing all currently active user accounts — dated within the last 30 days?</t>
        </is>
      </c>
      <c r="G2" s="62" t="n">
        <v>5</v>
      </c>
      <c r="H2" s="62" t="inlineStr">
        <is>
          <t>Review your identity directory monthly. Disable accounts within 24 hours of employee departure. Document your authorization process in a formal Access Control Policy.</t>
        </is>
      </c>
      <c r="I2" s="62" t="n"/>
      <c r="J2" s="62" t="inlineStr">
        <is>
          <t>3.1.1</t>
        </is>
      </c>
    </row>
    <row r="3" ht="115.65" customHeight="1" s="28">
      <c r="A3" s="62" t="inlineStr">
        <is>
          <t>3.1.2</t>
        </is>
      </c>
      <c r="B3" s="62" t="inlineStr">
        <is>
          <t>AC</t>
        </is>
      </c>
      <c r="C3" s="62" t="inlineStr">
        <is>
          <t>Access Control</t>
        </is>
      </c>
      <c r="D3" s="62" t="inlineStr">
        <is>
          <t>Limit system access to types of transactions</t>
        </is>
      </c>
      <c r="E3" s="62" t="inlineStr">
        <is>
          <t>Limit system access to the types of transactions and functions that authorized users are permitted to execute.</t>
        </is>
      </c>
      <c r="F3" s="62" t="inlineStr">
        <is>
          <t>Can you produce two things: (1) documentation showing each user role is restricted to only the functions they need — for example, a role matrix or access control policy defining what each user type can and cannot do, AND (2) a configuration screenshot or export from your identity system or file/application access controls — dated within the last 90 days — showing those role restrictions are technically enforced (not just documented)?</t>
        </is>
      </c>
      <c r="G3" s="62" t="n">
        <v>5</v>
      </c>
      <c r="H3" s="62" t="inlineStr">
        <is>
          <t>Implement Role-Based Access Control (RBAC). Document a role matrix mapping job function to system permissions. Review quarterly.</t>
        </is>
      </c>
      <c r="I3" s="62" t="n"/>
      <c r="J3" s="62" t="inlineStr">
        <is>
          <t>3.1.2</t>
        </is>
      </c>
    </row>
    <row r="4" ht="77.59999999999999" customHeight="1" s="28">
      <c r="A4" s="62" t="inlineStr">
        <is>
          <t>3.1.3</t>
        </is>
      </c>
      <c r="B4" s="62" t="inlineStr">
        <is>
          <t>AC</t>
        </is>
      </c>
      <c r="C4" s="62" t="inlineStr">
        <is>
          <t>Access Control</t>
        </is>
      </c>
      <c r="D4" s="62" t="inlineStr">
        <is>
          <t>Control CUI flow</t>
        </is>
      </c>
      <c r="E4" s="62" t="inlineStr">
        <is>
          <t>Control the flow of CUI in accordance with approved authorizations.</t>
        </is>
      </c>
      <c r="F4" s="62" t="inlineStr">
        <is>
          <t>Can you produce a simple diagram or written description of how Controlled Unclassified Information (CUI) moves through your company — for example, which systems store it and who can access it — and a written policy stating which data paths are allowed?</t>
        </is>
      </c>
      <c r="G4" s="62" t="n">
        <v>1</v>
      </c>
      <c r="H4" s="62" t="inlineStr">
        <is>
          <t>Create a simple data flow diagram using any diagramming tool — or draw it by hand and photograph it; neither the tool nor the polish matters. Label every system that touches CUI. Define in policy which flows are approved and which are prohibited.</t>
        </is>
      </c>
      <c r="I4" s="62" t="n"/>
      <c r="J4" s="62" t="inlineStr">
        <is>
          <t>3.1.3</t>
        </is>
      </c>
    </row>
    <row r="5" ht="191.75" customHeight="1" s="28">
      <c r="A5" s="62" t="inlineStr">
        <is>
          <t>3.1.4</t>
        </is>
      </c>
      <c r="B5" s="62" t="inlineStr">
        <is>
          <t>AC</t>
        </is>
      </c>
      <c r="C5" s="62" t="inlineStr">
        <is>
          <t>Access Control</t>
        </is>
      </c>
      <c r="D5" s="62" t="inlineStr">
        <is>
          <t>Separate duties of individuals</t>
        </is>
      </c>
      <c r="E5" s="62" t="inlineStr">
        <is>
          <t>Separate the duties of individuals to reduce the risk of malevolent activity without collusion.</t>
        </is>
      </c>
      <c r="F5" s="62" t="inlineStr">
        <is>
          <t>Can you produce two things: (1) documentation showing that no single person has the ability to perform high-risk actions alone — for example, that the person who approves access requests is different from the person who provisions accounts, AND (2) a configuration artifact dated within the last 90 days showing your systems technically enforce the separation — such as an endpoint configuration management policy export, IAM role listing, or access control screenshot demonstrating that the accounts in question hold separate permissions and that no single account can perform conflicting privileged duties?</t>
        </is>
      </c>
      <c r="G5" s="62" t="n">
        <v>1</v>
      </c>
      <c r="H5" s="62" t="inlineStr">
        <is>
          <t>Document which roles cannot be held by the same person. At minimum, separate: system admin, security reviewer, and financial approver. For small teams, document compensating controls. A C3PAO assessing 3.1.4 will examine actual access authorizations, not just policy documents. Evidence must demonstrate technical enforcement: a screenshot from your endpoint configuration management tool showing privileged accounts have separate permissions, an IAM role export showing duties are split across accounts, or equivalent system configuration evidence. Policy and role matrix alone will not pass at audit.</t>
        </is>
      </c>
      <c r="I5" s="62" t="n"/>
      <c r="J5" s="62" t="inlineStr">
        <is>
          <t>3.1.4</t>
        </is>
      </c>
    </row>
    <row r="6" ht="64.90000000000001" customHeight="1" s="28">
      <c r="A6" s="62" t="inlineStr">
        <is>
          <t>3.1.5</t>
        </is>
      </c>
      <c r="B6" s="62" t="inlineStr">
        <is>
          <t>AC</t>
        </is>
      </c>
      <c r="C6" s="62" t="inlineStr">
        <is>
          <t>Access Control</t>
        </is>
      </c>
      <c r="D6" s="62" t="inlineStr">
        <is>
          <t>Employ least privilege</t>
        </is>
      </c>
      <c r="E6" s="62" t="inlineStr">
        <is>
          <t>Employ the principle of least privilege, including for specific security functions and privileged accounts.</t>
        </is>
      </c>
      <c r="F6" s="62" t="inlineStr">
        <is>
          <t>Can you produce a list of all privileged accounts (admin, root, service accounts) in your environment — and evidence that each account's elevated access is documented, justified, and reviewed within the last 90 days?</t>
        </is>
      </c>
      <c r="G6" s="62" t="n">
        <v>3</v>
      </c>
      <c r="H6" s="62" t="inlineStr">
        <is>
          <t>Audit privileged accounts quarterly. Remove unnecessary admin rights. Use separate admin accounts for administrative tasks — never browse the internet with an admin account.</t>
        </is>
      </c>
      <c r="I6" s="62" t="n"/>
      <c r="J6" s="62" t="inlineStr">
        <is>
          <t>3.1.5</t>
        </is>
      </c>
    </row>
    <row r="7" ht="77.59999999999999" customHeight="1" s="28">
      <c r="A7" s="62" t="inlineStr">
        <is>
          <t>3.1.6</t>
        </is>
      </c>
      <c r="B7" s="62" t="inlineStr">
        <is>
          <t>AC</t>
        </is>
      </c>
      <c r="C7" s="62" t="inlineStr">
        <is>
          <t>Access Control</t>
        </is>
      </c>
      <c r="D7" s="62" t="inlineStr">
        <is>
          <t>Use non-privileged accounts for non-security functions</t>
        </is>
      </c>
      <c r="E7" s="62" t="inlineStr">
        <is>
          <t>Use non-privileged accounts or roles when accessing non-security functions.</t>
        </is>
      </c>
      <c r="F7" s="62" t="inlineStr">
        <is>
          <t>Can you produce evidence — such as a policy or user account configuration — showing that administrators use standard (non-privileged) accounts for everyday tasks like email and web browsing, and only elevate privileges when necessary?</t>
        </is>
      </c>
      <c r="G7" s="62" t="n">
        <v>1</v>
      </c>
      <c r="H7" s="62" t="inlineStr">
        <is>
          <t>Create separate accounts for all admins: one standard account for daily use, one admin account for administrative tasks only. Document this requirement in your Access Control Policy.</t>
        </is>
      </c>
      <c r="I7" s="62" t="n"/>
      <c r="J7" s="62" t="inlineStr">
        <is>
          <t>3.1.6</t>
        </is>
      </c>
    </row>
    <row r="8" ht="77.59999999999999" customHeight="1" s="28">
      <c r="A8" s="62" t="inlineStr">
        <is>
          <t>3.1.7</t>
        </is>
      </c>
      <c r="B8" s="62" t="inlineStr">
        <is>
          <t>AC</t>
        </is>
      </c>
      <c r="C8" s="62" t="inlineStr">
        <is>
          <t>Access Control</t>
        </is>
      </c>
      <c r="D8" s="62" t="inlineStr">
        <is>
          <t>Prevent non-privileged users from executing privileged functions</t>
        </is>
      </c>
      <c r="E8" s="62" t="inlineStr">
        <is>
          <t>Prevent non-privileged users from executing privileged functions and capture the execution of such functions in audit logs.</t>
        </is>
      </c>
      <c r="F8" s="62" t="inlineStr">
        <is>
          <t>Can you produce two things: (1) a screenshot showing regular staff cannot install software or change settings without admin approval — such as your operating system's privilege elevation control — and (2) a log entry from the last 30 days showing an admin action was recorded?</t>
        </is>
      </c>
      <c r="G8" s="62" t="n">
        <v>1</v>
      </c>
      <c r="H8" s="62" t="inlineStr">
        <is>
          <t>Configure your operating system's privilege-elevation logging — the mechanism that prompts for admin credentials when a standard user tries to install software or change a protected setting, and records that it happened. Ensure your SIEM or log management system captures privilege escalation events. Test by attempting a privileged action as a standard user.</t>
        </is>
      </c>
      <c r="I8" s="62" t="n"/>
      <c r="J8" s="62" t="inlineStr">
        <is>
          <t>3.1.7</t>
        </is>
      </c>
    </row>
    <row r="9" ht="77.59999999999999" customHeight="1" s="28">
      <c r="A9" s="62" t="inlineStr">
        <is>
          <t>3.1.8</t>
        </is>
      </c>
      <c r="B9" s="62" t="inlineStr">
        <is>
          <t>AC</t>
        </is>
      </c>
      <c r="C9" s="62" t="inlineStr">
        <is>
          <t>Access Control</t>
        </is>
      </c>
      <c r="D9" s="62" t="inlineStr">
        <is>
          <t>Limit unsuccessful logon attempts</t>
        </is>
      </c>
      <c r="E9" s="62" t="inlineStr">
        <is>
          <t>Limit unsuccessful logon attempts.</t>
        </is>
      </c>
      <c r="F9" s="62" t="inlineStr">
        <is>
          <t>Can you produce evidence — such as an endpoint configuration management policy, conditional-access policy, or system configuration — showing that accounts are locked or throttled after a defined number of failed login attempts?</t>
        </is>
      </c>
      <c r="G9" s="62" t="n">
        <v>1</v>
      </c>
      <c r="H9" s="62" t="inlineStr">
        <is>
          <t>Configure account lockout in your identity system with a threshold your policy defines — common defaults are 3–10 failed attempts with a 15–30 minute lockout. The specific numbers must be documented in your Access Control Policy; 800-171 requires a defined threshold, not a specific one.</t>
        </is>
      </c>
      <c r="I9" s="62" t="n"/>
      <c r="J9" s="62" t="inlineStr">
        <is>
          <t>3.1.8</t>
        </is>
      </c>
    </row>
    <row r="10" ht="52.2" customHeight="1" s="28">
      <c r="A10" s="62" t="inlineStr">
        <is>
          <t>3.1.9</t>
        </is>
      </c>
      <c r="B10" s="62" t="inlineStr">
        <is>
          <t>AC</t>
        </is>
      </c>
      <c r="C10" s="62" t="inlineStr">
        <is>
          <t>Access Control</t>
        </is>
      </c>
      <c r="D10" s="62" t="inlineStr">
        <is>
          <t>Provide privacy and security notices</t>
        </is>
      </c>
      <c r="E10" s="62" t="inlineStr">
        <is>
          <t>Provide privacy and security notices consistent with CUI rules.</t>
        </is>
      </c>
      <c r="F10" s="62" t="inlineStr">
        <is>
          <t>Can you produce a copy of the privacy and security notice that users see when they log into your systems — and confirm it references CUI handling requirements?</t>
        </is>
      </c>
      <c r="G10" s="62" t="n">
        <v>1</v>
      </c>
      <c r="H10" s="62" t="inlineStr">
        <is>
          <t>Configure a login banner on all systems. It must reference that the system may contain CUI, that use is monitored, and that unauthorized access is prohibited. Sample language available from NIST.</t>
        </is>
      </c>
      <c r="I10" s="62" t="n"/>
      <c r="J10" s="62" t="inlineStr">
        <is>
          <t>3.1.9</t>
        </is>
      </c>
    </row>
    <row r="11" ht="102.95" customHeight="1" s="28">
      <c r="A11" s="62" t="inlineStr">
        <is>
          <t>3.1.10</t>
        </is>
      </c>
      <c r="B11" s="62" t="inlineStr">
        <is>
          <t>AC</t>
        </is>
      </c>
      <c r="C11" s="62" t="inlineStr">
        <is>
          <t>Access Control</t>
        </is>
      </c>
      <c r="D11" s="62" t="inlineStr">
        <is>
          <t>Use session lock</t>
        </is>
      </c>
      <c r="E11" s="62" t="inlineStr">
        <is>
          <t>Use session lock with pattern-hiding displays after a period of inactivity.</t>
        </is>
      </c>
      <c r="F11" s="62" t="inlineStr">
        <is>
          <t>Can you produce evidence — such as an endpoint configuration management or mobile device management configuration — showing that all workstations automatically lock and blank the screen after a defined period of inactivity (typically 15 minutes or less)?</t>
        </is>
      </c>
      <c r="G11" s="62" t="n">
        <v>1</v>
      </c>
      <c r="H11" s="62" t="inlineStr">
        <is>
          <t>Configure screen lock via your endpoint configuration management or mobile device management tool. Your policy must define the inactivity period — a common default is 15 minutes, but your organization sets the threshold. Document the chosen value and where it is technically enforced.</t>
        </is>
      </c>
      <c r="I11" s="62" t="n"/>
      <c r="J11" s="62" t="inlineStr">
        <is>
          <t>3.1.10</t>
        </is>
      </c>
    </row>
    <row r="12" ht="64.90000000000001" customHeight="1" s="28">
      <c r="A12" s="62" t="inlineStr">
        <is>
          <t>3.1.11</t>
        </is>
      </c>
      <c r="B12" s="62" t="inlineStr">
        <is>
          <t>AC</t>
        </is>
      </c>
      <c r="C12" s="62" t="inlineStr">
        <is>
          <t>Access Control</t>
        </is>
      </c>
      <c r="D12" s="62" t="inlineStr">
        <is>
          <t>Terminate sessions</t>
        </is>
      </c>
      <c r="E12" s="62" t="inlineStr">
        <is>
          <t>Terminate (automatically) a user session after a defined condition.</t>
        </is>
      </c>
      <c r="F12" s="62" t="inlineStr">
        <is>
          <t>Can you produce evidence — such as a system or application configuration — showing that user sessions are automatically terminated after a defined period of inactivity or at the end of a defined time window?</t>
        </is>
      </c>
      <c r="G12" s="62" t="n">
        <v>1</v>
      </c>
      <c r="H12" s="62" t="inlineStr">
        <is>
          <t>Configure session timeout in your VPN, remote access solution, and key applications. Distinguish between session lock (screen blank, re-authenticate) and session termination (full logout). Both may be required.</t>
        </is>
      </c>
      <c r="I12" s="62" t="n"/>
      <c r="J12" s="62" t="inlineStr">
        <is>
          <t>3.1.11</t>
        </is>
      </c>
    </row>
    <row r="13" ht="52.2" customHeight="1" s="28">
      <c r="A13" s="62" t="inlineStr">
        <is>
          <t>3.1.12</t>
        </is>
      </c>
      <c r="B13" s="62" t="inlineStr">
        <is>
          <t>AC</t>
        </is>
      </c>
      <c r="C13" s="62" t="inlineStr">
        <is>
          <t>Access Control</t>
        </is>
      </c>
      <c r="D13" s="62" t="inlineStr">
        <is>
          <t>Monitor and control remote access sessions</t>
        </is>
      </c>
      <c r="E13" s="62" t="inlineStr">
        <is>
          <t>Monitor and control remote access sessions.</t>
        </is>
      </c>
      <c r="F13" s="62" t="inlineStr">
        <is>
          <t>Can you produce logs from the last 30 days showing all remote access connections to your environment — and a policy or configuration showing how remote access is monitored and by whom?</t>
        </is>
      </c>
      <c r="G13" s="62" t="n">
        <v>5</v>
      </c>
      <c r="H13" s="62" t="inlineStr">
        <is>
          <t>Ensure your VPN or remote access solution logs all sessions with user, time, source IP, and duration. Designate someone responsible for reviewing these logs. Review weekly at minimum.</t>
        </is>
      </c>
      <c r="I13" s="62" t="n"/>
      <c r="J13" s="62" t="inlineStr">
        <is>
          <t>3.1.12</t>
        </is>
      </c>
    </row>
    <row r="14" ht="166.4" customHeight="1" s="28">
      <c r="A14" s="62" t="inlineStr">
        <is>
          <t>3.1.13</t>
        </is>
      </c>
      <c r="B14" s="62" t="inlineStr">
        <is>
          <t>AC</t>
        </is>
      </c>
      <c r="C14" s="62" t="inlineStr">
        <is>
          <t>Access Control</t>
        </is>
      </c>
      <c r="D14" s="62" t="inlineStr">
        <is>
          <t>Employ cryptographic mechanisms for remote access</t>
        </is>
      </c>
      <c r="E14" s="62" t="inlineStr">
        <is>
          <t>Employ cryptographic mechanisms to protect the confidentiality of remote access sessions.</t>
        </is>
      </c>
      <c r="F14" s="62" t="inlineStr">
        <is>
          <t>Can you produce two things: (1) a screenshot of your VPN or remote access settings confirming modern encryption (TLS 1.2 or newer) is used for all remote connections, and (2) a separate written statement from your IT provider confirming that older protocols — SSL, TLS 1.0, and TLS 1.1 — have been actively turned off, not just unused?</t>
        </is>
      </c>
      <c r="G14" s="62" t="n">
        <v>5</v>
      </c>
      <c r="H14" s="62" t="inlineStr">
        <is>
          <t>Verify your remote access solution uses TLS 1.2 or TLS 1.3 exclusively. In your VPN admin console, disable TLS 1.0 and TLS 1.1 cipher suites and remove SSL entries. For HTTPS-based VPNs, the cipher suite configuration panel is where you enforce this — look for SSL/TLS Protocol settings. AES-256 is the symmetric cipher used by IPsec-based VPNs; if your VPN is IPsec/IKEv2, ensure the cipher suite includes AES-256. Don't conflate the two — TLS protocol version and AES cipher are different settings.</t>
        </is>
      </c>
      <c r="I14" s="62" t="n"/>
      <c r="J14" s="62" t="inlineStr">
        <is>
          <t>3.1.13</t>
        </is>
      </c>
    </row>
    <row r="15" ht="64.90000000000001" customHeight="1" s="28">
      <c r="A15" s="62" t="inlineStr">
        <is>
          <t>3.1.14</t>
        </is>
      </c>
      <c r="B15" s="62" t="inlineStr">
        <is>
          <t>AC</t>
        </is>
      </c>
      <c r="C15" s="62" t="inlineStr">
        <is>
          <t>Access Control</t>
        </is>
      </c>
      <c r="D15" s="62" t="inlineStr">
        <is>
          <t>Route remote access via managed access control points</t>
        </is>
      </c>
      <c r="E15" s="62" t="inlineStr">
        <is>
          <t>Route remote access via managed access control points.</t>
        </is>
      </c>
      <c r="F15" s="62" t="inlineStr">
        <is>
          <t>Can you produce a network diagram or configuration showing that all remote access into your environment passes through a defined, managed entry point — such as a VPN gateway — rather than directly to individual systems?</t>
        </is>
      </c>
      <c r="G15" s="62" t="n">
        <v>1</v>
      </c>
      <c r="H15" s="62" t="inlineStr">
        <is>
          <t>Ensure all remote workers connect through your VPN before accessing internal systems. Disable direct RDP or SSH access from the internet. Document your network access architecture.</t>
        </is>
      </c>
      <c r="I15" s="62" t="n"/>
      <c r="J15" s="62" t="inlineStr">
        <is>
          <t>3.1.14</t>
        </is>
      </c>
    </row>
    <row r="16" ht="64.90000000000001" customHeight="1" s="28">
      <c r="A16" s="62" t="inlineStr">
        <is>
          <t>3.1.15</t>
        </is>
      </c>
      <c r="B16" s="62" t="inlineStr">
        <is>
          <t>AC</t>
        </is>
      </c>
      <c r="C16" s="62" t="inlineStr">
        <is>
          <t>Access Control</t>
        </is>
      </c>
      <c r="D16" s="62" t="inlineStr">
        <is>
          <t>Authorize remote execution of privileged commands</t>
        </is>
      </c>
      <c r="E16" s="62" t="inlineStr">
        <is>
          <t>Authorize the execution of privileged commands via remote access only for documented operational needs.</t>
        </is>
      </c>
      <c r="F16" s="62" t="inlineStr">
        <is>
          <t>Can you produce a policy or documented authorization showing that privileged commands (such as administrative actions) can only be executed remotely when there is a specific, documented operational justification?</t>
        </is>
      </c>
      <c r="G16" s="62" t="n">
        <v>1</v>
      </c>
      <c r="H16" s="62" t="inlineStr">
        <is>
          <t>Create a formal policy requiring written approval before any administrator performs privileged actions remotely. Log all remote privileged command executions and retain for 1 year.</t>
        </is>
      </c>
      <c r="I16" s="62" t="n"/>
      <c r="J16" s="62" t="inlineStr">
        <is>
          <t>3.1.15</t>
        </is>
      </c>
    </row>
    <row r="17" ht="64.90000000000001" customHeight="1" s="28">
      <c r="A17" s="62" t="inlineStr">
        <is>
          <t>3.1.16</t>
        </is>
      </c>
      <c r="B17" s="62" t="inlineStr">
        <is>
          <t>AC</t>
        </is>
      </c>
      <c r="C17" s="62" t="inlineStr">
        <is>
          <t>Access Control</t>
        </is>
      </c>
      <c r="D17" s="62" t="inlineStr">
        <is>
          <t>Authorize wireless access</t>
        </is>
      </c>
      <c r="E17" s="62" t="inlineStr">
        <is>
          <t>Authorize wireless access prior to allowing such connections.</t>
        </is>
      </c>
      <c r="F17" s="62" t="inlineStr">
        <is>
          <t>Can you produce documentation showing that all wireless access points in your environment are authorized — including a list of approved SSIDs and evidence that unauthorized wireless devices are not permitted?</t>
        </is>
      </c>
      <c r="G17" s="62" t="n">
        <v>5</v>
      </c>
      <c r="H17" s="62" t="inlineStr">
        <is>
          <t>Maintain a list of all authorized wireless access points. Configure your wireless infrastructure to alert on rogue access points. Separate guest wireless from corporate wireless on different VLANs.</t>
        </is>
      </c>
      <c r="I17" s="62" t="n"/>
      <c r="J17" s="62" t="inlineStr">
        <is>
          <t>3.1.16</t>
        </is>
      </c>
    </row>
    <row r="18" ht="64.90000000000001" customHeight="1" s="28">
      <c r="A18" s="62" t="inlineStr">
        <is>
          <t>3.1.17</t>
        </is>
      </c>
      <c r="B18" s="62" t="inlineStr">
        <is>
          <t>AC</t>
        </is>
      </c>
      <c r="C18" s="62" t="inlineStr">
        <is>
          <t>Access Control</t>
        </is>
      </c>
      <c r="D18" s="62" t="inlineStr">
        <is>
          <t>Protect wireless access using authentication and encryption</t>
        </is>
      </c>
      <c r="E18" s="62" t="inlineStr">
        <is>
          <t>Protect wireless access using authentication and encryption.</t>
        </is>
      </c>
      <c r="F18" s="62" t="inlineStr">
        <is>
          <t>Can you produce evidence — such as a wireless configuration — showing that your corporate wireless network requires WPA2-Enterprise or WPA3 authentication and uses AES encryption?</t>
        </is>
      </c>
      <c r="G18" s="62" t="n">
        <v>5</v>
      </c>
      <c r="H18" s="62" t="inlineStr">
        <is>
          <t>Configure corporate wireless with WPA2-Enterprise (802.1X authentication) at minimum. Disable WEP and WPA. If WPA2-Personal is used, document it as a finding requiring remediation.</t>
        </is>
      </c>
      <c r="I18" s="62" t="n"/>
      <c r="J18" s="62" t="inlineStr">
        <is>
          <t>3.1.17</t>
        </is>
      </c>
    </row>
    <row r="19" ht="64.90000000000001" customHeight="1" s="28">
      <c r="A19" s="62" t="inlineStr">
        <is>
          <t>3.1.18</t>
        </is>
      </c>
      <c r="B19" s="62" t="inlineStr">
        <is>
          <t>AC</t>
        </is>
      </c>
      <c r="C19" s="62" t="inlineStr">
        <is>
          <t>Access Control</t>
        </is>
      </c>
      <c r="D19" s="62" t="inlineStr">
        <is>
          <t>Control connection of mobile devices</t>
        </is>
      </c>
      <c r="E19" s="62" t="inlineStr">
        <is>
          <t>Control connection of mobile devices.</t>
        </is>
      </c>
      <c r="F19" s="62" t="inlineStr">
        <is>
          <t>Can you produce evidence — such as a Mobile Device Management (MDM) configuration or policy — showing that mobile devices are enrolled and managed before they are permitted to access your systems or CUI?</t>
        </is>
      </c>
      <c r="G19" s="62" t="n">
        <v>5</v>
      </c>
      <c r="H19" s="62" t="inlineStr">
        <is>
          <t>Use a mobile device management capability. Require enrollment before granting access to corporate email or systems. Define minimum security requirements: PIN, encryption, remote wipe capability.</t>
        </is>
      </c>
      <c r="I19" s="62" t="n"/>
      <c r="J19" s="62" t="inlineStr">
        <is>
          <t>3.1.18</t>
        </is>
      </c>
    </row>
    <row r="20" ht="102.95" customHeight="1" s="28">
      <c r="A20" s="62" t="inlineStr">
        <is>
          <t>3.1.19</t>
        </is>
      </c>
      <c r="B20" s="62" t="inlineStr">
        <is>
          <t>AC</t>
        </is>
      </c>
      <c r="C20" s="62" t="inlineStr">
        <is>
          <t>Access Control</t>
        </is>
      </c>
      <c r="D20" s="62" t="inlineStr">
        <is>
          <t>Encrypt CUI on mobile devices</t>
        </is>
      </c>
      <c r="E20" s="62" t="inlineStr">
        <is>
          <t>Encrypt CUI on mobile devices and mobile computing platforms.</t>
        </is>
      </c>
      <c r="F20" s="62" t="inlineStr">
        <is>
          <t>Can you produce evidence — such as an MDM compliance report or device configuration — showing that all mobile devices that store or access CUI have full-device encryption enabled?</t>
        </is>
      </c>
      <c r="G20" s="62" t="n">
        <v>3</v>
      </c>
      <c r="H20" s="62" t="inlineStr">
        <is>
          <t>Verify device encryption is enforced via your MDM platform's policy enforcement. On mobile devices, verify your operating system's encryption is enabled (e.g., default-on for iOS when a passcode is set; settings-enabled for Android with full-disk encryption configured via MDM profile; equivalent enforcement on other mobile OS platforms). Generate a compliance report quarterly.</t>
        </is>
      </c>
      <c r="I20" s="62" t="n"/>
      <c r="J20" s="62" t="inlineStr">
        <is>
          <t>3.1.19</t>
        </is>
      </c>
    </row>
    <row r="21" ht="77.59999999999999" customHeight="1" s="28">
      <c r="A21" s="62" t="inlineStr">
        <is>
          <t>3.1.20</t>
        </is>
      </c>
      <c r="B21" s="62" t="inlineStr">
        <is>
          <t>AC</t>
        </is>
      </c>
      <c r="C21" s="62" t="inlineStr">
        <is>
          <t>Access Control</t>
        </is>
      </c>
      <c r="D21" s="62" t="inlineStr">
        <is>
          <t>Verify and control connections to external systems</t>
        </is>
      </c>
      <c r="E21" s="62" t="inlineStr">
        <is>
          <t>Verify and control/limit connections to external systems.</t>
        </is>
      </c>
      <c r="F21" s="62" t="inlineStr">
        <is>
          <t>Can you produce a simple list naming every outside service your company connects to — cloud productivity suites, accounting platforms, vendor portals — with a note on who approved each connection and whether a signed agreement exists for any that touch CUI?</t>
        </is>
      </c>
      <c r="G21" s="62" t="n">
        <v>1</v>
      </c>
      <c r="H21" s="62" t="inlineStr">
        <is>
          <t>Maintain an inventory of all external system connections. Ensure each has a documented business justification and, where CUI is involved, a signed agreement (ISA or equivalent). Review annually.</t>
        </is>
      </c>
      <c r="I21" s="62" t="n"/>
      <c r="J21" s="62" t="inlineStr">
        <is>
          <t>3.1.20</t>
        </is>
      </c>
    </row>
    <row r="22" ht="102.95" customHeight="1" s="28">
      <c r="A22" s="62" t="inlineStr">
        <is>
          <t>3.1.21</t>
        </is>
      </c>
      <c r="B22" s="62" t="inlineStr">
        <is>
          <t>AC</t>
        </is>
      </c>
      <c r="C22" s="62" t="inlineStr">
        <is>
          <t>Access Control</t>
        </is>
      </c>
      <c r="D22" s="62" t="inlineStr">
        <is>
          <t>Limit use of portable storage devices</t>
        </is>
      </c>
      <c r="E22" s="62" t="inlineStr">
        <is>
          <t>Limit use of portable storage devices on external systems.</t>
        </is>
      </c>
      <c r="F22" s="62" t="inlineStr">
        <is>
          <t>Can you produce evidence — such as a policy or endpoint configuration — showing that the use of USB drives and other portable storage devices is either prohibited or strictly controlled on systems that handle CUI?</t>
        </is>
      </c>
      <c r="G22" s="62" t="n">
        <v>1</v>
      </c>
      <c r="H22" s="62" t="inlineStr">
        <is>
          <t>Configure your endpoint configuration management, mobile device management, or endpoint security tool to block unauthorized USB storage devices via its device-control feature. If USB use is permitted, document the justification and restrict to encrypted, approved devices only.</t>
        </is>
      </c>
      <c r="I22" s="62" t="n"/>
      <c r="J22" s="62" t="inlineStr">
        <is>
          <t>3.1.21</t>
        </is>
      </c>
    </row>
    <row r="23" ht="64.90000000000001" customHeight="1" s="28">
      <c r="A23" s="62" t="inlineStr">
        <is>
          <t>3.1.22</t>
        </is>
      </c>
      <c r="B23" s="62" t="inlineStr">
        <is>
          <t>AC</t>
        </is>
      </c>
      <c r="C23" s="62" t="inlineStr">
        <is>
          <t>Access Control</t>
        </is>
      </c>
      <c r="D23" s="62" t="inlineStr">
        <is>
          <t>Control CUI posted to publicly accessible systems</t>
        </is>
      </c>
      <c r="E23" s="62" t="inlineStr">
        <is>
          <t>Control CUI posted or processed on publicly accessible systems.</t>
        </is>
      </c>
      <c r="F23" s="62" t="inlineStr">
        <is>
          <t>Can you produce a policy and a documented review process showing that CUI is never posted to public-facing systems (websites, public portals, shared drives) — and that content on public systems is reviewed before publication?</t>
        </is>
      </c>
      <c r="G23" s="62" t="n">
        <v>1</v>
      </c>
      <c r="H23" s="62" t="inlineStr">
        <is>
          <t>Create a clear policy prohibiting CUI on public systems. Establish a review step before any content goes public. Train all staff who manage public-facing content on CUI identification.</t>
        </is>
      </c>
      <c r="I23" s="62" t="n"/>
      <c r="J23" s="62" t="inlineStr">
        <is>
          <t>3.1.22</t>
        </is>
      </c>
    </row>
    <row r="24" ht="128.35" customHeight="1" s="28">
      <c r="A24" s="62" t="inlineStr">
        <is>
          <t>3.2.1</t>
        </is>
      </c>
      <c r="B24" s="62" t="inlineStr">
        <is>
          <t>AT</t>
        </is>
      </c>
      <c r="C24" s="62" t="inlineStr">
        <is>
          <t>Awareness &amp; Training</t>
        </is>
      </c>
      <c r="D24" s="62" t="inlineStr">
        <is>
          <t>Ensure awareness of security risks</t>
        </is>
      </c>
      <c r="E24" s="62" t="inlineStr">
        <is>
          <t>Ensure that managers, systems administrators, and users of organizational systems are made aware of the security risks associated with their activities and of the applicable policies, standards, and procedures related to the security of those systems.</t>
        </is>
      </c>
      <c r="F24" s="62" t="inlineStr">
        <is>
          <t>Can you produce two things: (1) a copy of your security awareness training materials or curriculum — covering, at minimum, all four topics: CUI handling, phishing recognition, acceptable use, and how to report a security incident — AND (2) attendance or completion records — such as a signed sign-in sheet, an LMS completion report, or individual training certificates — showing every employee completed the training within the last year, with names and dates?</t>
        </is>
      </c>
      <c r="G24" s="62" t="n">
        <v>5</v>
      </c>
      <c r="H24" s="62" t="inlineStr">
        <is>
          <t>Common failure: 'we had a lunch and learn' with no documented curriculum, attendance list, or topic coverage. Your training must cover CUI handling, phishing recognition, acceptable use, and incident reporting at minimum. Free options: CISA has free security awareness materials at cisa.gov. Document every session with a sign-in sheet or completion email and retain for 1 year.</t>
        </is>
      </c>
      <c r="I24" s="62" t="n"/>
      <c r="J24" s="62" t="inlineStr">
        <is>
          <t>3.2.1</t>
        </is>
      </c>
    </row>
    <row r="25" ht="153.7" customHeight="1" s="28">
      <c r="A25" s="62" t="inlineStr">
        <is>
          <t>3.2.2</t>
        </is>
      </c>
      <c r="B25" s="62" t="inlineStr">
        <is>
          <t>AT</t>
        </is>
      </c>
      <c r="C25" s="62" t="inlineStr">
        <is>
          <t>Awareness &amp; Training</t>
        </is>
      </c>
      <c r="D25" s="62" t="inlineStr">
        <is>
          <t>Ensure personnel are trained for their security duties</t>
        </is>
      </c>
      <c r="E25" s="62" t="inlineStr">
        <is>
          <t>Ensure that personnel are trained to carry out their assigned information security responsibilities.</t>
        </is>
      </c>
      <c r="F25" s="62" t="inlineStr">
        <is>
          <t>Can you produce two things: (1) training materials or a curriculum specifically designed for staff in security-relevant roles — separate and distinct from the general training everyone receives — such as your system administrator or IT staff (including any outsourced IT provider or MSP), your compliance lead, whoever manages user accounts, and anyone with administrative rights on company systems — covering topics specific to their responsibilities, AND (2) completion records showing those individuals completed role-appropriate training within the last year, with names, roles, and dates?</t>
        </is>
      </c>
      <c r="G25" s="62" t="n">
        <v>5</v>
      </c>
      <c r="H25" s="62" t="inlineStr">
        <is>
          <t>Common failure: one generic training for everyone with no evidence that admins received admin-specific content. Role-based training does not have to be elaborate — a 30-minute session covering admin account hygiene, log review, and incident response is sufficient for a small team. Document it separately from general awareness training so the distinction is clear to an auditor.</t>
        </is>
      </c>
      <c r="I25" s="62" t="n"/>
      <c r="J25" s="62" t="inlineStr">
        <is>
          <t>3.2.2</t>
        </is>
      </c>
    </row>
    <row r="26" ht="153.7" customHeight="1" s="28">
      <c r="A26" s="62" t="inlineStr">
        <is>
          <t>3.2.3</t>
        </is>
      </c>
      <c r="B26" s="62" t="inlineStr">
        <is>
          <t>AT</t>
        </is>
      </c>
      <c r="C26" s="62" t="inlineStr">
        <is>
          <t>Awareness &amp; Training</t>
        </is>
      </c>
      <c r="D26" s="62" t="inlineStr">
        <is>
          <t>Train personnel to recognize insider threat indicators</t>
        </is>
      </c>
      <c r="E26" s="62" t="inlineStr">
        <is>
          <t>Provide security awareness training on recognizing and reporting potential indicators of insider threat.</t>
        </is>
      </c>
      <c r="F26" s="62" t="inlineStr">
        <is>
          <t>Can you produce three things: (1) training materials specifically covering insider threat — such as behavioral warning signs, unusual data access patterns, and what an insider threat actually looks like in a small company, (2) completion records showing all staff received this training within the last year with names and dates, AND (3) a written description of the reporting channel employees should use if they suspect an insider threat — such as a named person or dedicated email address employees can contact confidentially, not just 'tell your manager'?</t>
        </is>
      </c>
      <c r="G26" s="62" t="n">
        <v>1</v>
      </c>
      <c r="H26" s="62" t="inlineStr">
        <is>
          <t>Common failure: general security awareness exists but nothing specific to insider threat. This control is separate from 3.2.1 — it requires explicit insider threat content. Add a dedicated 15-minute module covering: warning signs (sudden attitude changes, unusual after-hours access, copying large volumes of data), how to report suspicions without accusing colleagues, and who handles reports confidentially. CISA has free insider threat awareness materials.</t>
        </is>
      </c>
      <c r="I26" s="62" t="n"/>
      <c r="J26" s="62" t="inlineStr">
        <is>
          <t>3.2.3</t>
        </is>
      </c>
    </row>
    <row r="27" ht="356.7" customHeight="1" s="28">
      <c r="A27" s="62" t="inlineStr">
        <is>
          <t>3.3.1</t>
        </is>
      </c>
      <c r="B27" s="62" t="inlineStr">
        <is>
          <t>AU</t>
        </is>
      </c>
      <c r="C27" s="62" t="inlineStr">
        <is>
          <t>Audit &amp; Accountability</t>
        </is>
      </c>
      <c r="D27" s="62" t="inlineStr">
        <is>
          <t>Create and retain audit logs</t>
        </is>
      </c>
      <c r="E27" s="62" t="inlineStr">
        <is>
          <t>Create and retain system audit logs and records to the extent needed to enable the monitoring, analysis, investigation, and reporting of unlawful or unauthorized system activity.</t>
        </is>
      </c>
      <c r="F27" s="62" t="inlineStr">
        <is>
          <t>Can you produce two things: (1) a configuration screenshot from your logging system — a platform audit log or a SIEM tool — showing your retention window is set to at least 1 year, AND (2) a sample log export from the last 30 days showing that user actions, failed login attempts, privilege use, and file access on CUI systems are all being captured?</t>
        </is>
      </c>
      <c r="G27" s="62" t="n">
        <v>5</v>
      </c>
      <c r="H27" s="62" t="inlineStr">
        <is>
          <t>Common failure: claiming 'we have logs' without a 30-day export showing required event types, or retention set to only 30-90 days. Configure retention for 1 year minimum. Verify your logging system captures: logons, logoffs, failed attempts, privilege use, and file access on CUI systems. Enable your platform's audit-logging capability — the configuration path varies by platform and by platform version; check your current admin console rather than older documentation. Note that default retention on entry-level tiers is often 90 days, which does not satisfy a 365-day threshold; either confirm your tier retains logs for a year or forward audit logs to a system with a 1-year retention policy. NIST 800-171 3.3.1 requires retention 'to the extent needed.' This Library uses 365 days as a recommended floor aligned with CMMC community practice. Organizations with a documented risk-based justification may use a shorter period, with explicit rationale recorded in the SSP. Note that the 90-day figure often quoted from DFARS 252.204-7012(e) is not a log-retention requirement — it covers preserving system images and monitoring data for 90 days after a cyber incident report, which is a different obligation.</t>
        </is>
      </c>
      <c r="I27" s="62" t="n"/>
      <c r="J27" s="62" t="inlineStr">
        <is>
          <t>3.3.1</t>
        </is>
      </c>
    </row>
    <row r="28" ht="77.59999999999999" customHeight="1" s="28">
      <c r="A28" s="62" t="inlineStr">
        <is>
          <t>3.3.2</t>
        </is>
      </c>
      <c r="B28" s="62" t="inlineStr">
        <is>
          <t>AU</t>
        </is>
      </c>
      <c r="C28" s="62" t="inlineStr">
        <is>
          <t>Audit &amp; Accountability</t>
        </is>
      </c>
      <c r="D28" s="62" t="inlineStr">
        <is>
          <t>Ensure actions are traceable to individual users</t>
        </is>
      </c>
      <c r="E28" s="62" t="inlineStr">
        <is>
          <t>Ensure that the actions of individual system users can be traced to those users so they can be held accountable for their actions.</t>
        </is>
      </c>
      <c r="F28" s="62" t="inlineStr">
        <is>
          <t>Can you produce two things: (1) a sample log entry from the last 30 days showing that each recorded event is tied to a specific named user — not a shared or generic account — AND (2) a configuration screenshot confirming your logging system captures a user identifier field on every event?</t>
        </is>
      </c>
      <c r="G28" s="62" t="n">
        <v>3</v>
      </c>
      <c r="H28" s="62" t="inlineStr">
        <is>
          <t>Common failure: shared accounts (admin, servicedesk, reception) log activity that cannot be traced to an individual. Eliminate shared accounts on CUI systems. Every person must have their own named account. Service accounts must be non-interactive and clearly labeled.</t>
        </is>
      </c>
      <c r="I28" s="62" t="n"/>
      <c r="J28" s="62" t="inlineStr">
        <is>
          <t>3.3.2</t>
        </is>
      </c>
    </row>
    <row r="29" ht="77.59999999999999" customHeight="1" s="28">
      <c r="A29" s="62" t="inlineStr">
        <is>
          <t>3.3.3</t>
        </is>
      </c>
      <c r="B29" s="62" t="inlineStr">
        <is>
          <t>AU</t>
        </is>
      </c>
      <c r="C29" s="62" t="inlineStr">
        <is>
          <t>Audit &amp; Accountability</t>
        </is>
      </c>
      <c r="D29" s="62" t="inlineStr">
        <is>
          <t>Review and update logged events</t>
        </is>
      </c>
      <c r="E29" s="62" t="inlineStr">
        <is>
          <t>Review and update logged events.</t>
        </is>
      </c>
      <c r="F29" s="62" t="inlineStr">
        <is>
          <t>Can you produce a documented record — such as a meeting note, signed checklist, or dated email — showing that someone at your organization reviewed the list of events being logged within the last year, and confirmed those events are still the right ones to capture?</t>
        </is>
      </c>
      <c r="G29" s="62" t="n">
        <v>1</v>
      </c>
      <c r="H29" s="62" t="inlineStr">
        <is>
          <t>Schedule an annual review of your logging configuration. Document who conducted the review, when, and what was confirmed or changed. A one-page signed memo is sufficient evidence. Store in your compliance folder.</t>
        </is>
      </c>
      <c r="I29" s="62" t="n"/>
      <c r="J29" s="62" t="inlineStr">
        <is>
          <t>3.3.3</t>
        </is>
      </c>
    </row>
    <row r="30" ht="77.59999999999999" customHeight="1" s="28">
      <c r="A30" s="62" t="inlineStr">
        <is>
          <t>3.3.4</t>
        </is>
      </c>
      <c r="B30" s="62" t="inlineStr">
        <is>
          <t>AU</t>
        </is>
      </c>
      <c r="C30" s="62" t="inlineStr">
        <is>
          <t>Audit &amp; Accountability</t>
        </is>
      </c>
      <c r="D30" s="62" t="inlineStr">
        <is>
          <t>Alert on audit logging process failures</t>
        </is>
      </c>
      <c r="E30" s="62" t="inlineStr">
        <is>
          <t>Alert in the event of an audit logging process failure.</t>
        </is>
      </c>
      <c r="F30" s="62" t="inlineStr">
        <is>
          <t>Can you produce two things: (1) a configuration screenshot showing your logging system is set to send an alert — such as an email or dashboard notification — if it stops working or fails, AND (2) a sample alert record or a documented test showing the alert actually fires when triggered?</t>
        </is>
      </c>
      <c r="G30" s="62" t="n">
        <v>1</v>
      </c>
      <c r="H30" s="62" t="inlineStr">
        <is>
          <t>Common failure: alert is configured but has never been tested and is silently broken. Schedule a quarterly test: disable your logging agent briefly and confirm an alert fires. Document the test date and result. An untested alert provides false assurance.</t>
        </is>
      </c>
      <c r="I30" s="62" t="n"/>
      <c r="J30" s="62" t="inlineStr">
        <is>
          <t>3.3.4</t>
        </is>
      </c>
    </row>
    <row r="31" ht="331.3" customHeight="1" s="28">
      <c r="A31" s="62" t="inlineStr">
        <is>
          <t>3.3.5</t>
        </is>
      </c>
      <c r="B31" s="62" t="inlineStr">
        <is>
          <t>AU</t>
        </is>
      </c>
      <c r="C31" s="62" t="inlineStr">
        <is>
          <t>Audit &amp; Accountability</t>
        </is>
      </c>
      <c r="D31" s="62" t="inlineStr">
        <is>
          <t>Correlate audit review, analysis, and reporting</t>
        </is>
      </c>
      <c r="E31" s="62" t="inlineStr">
        <is>
          <t>Correlate audit record review, analysis, and reporting processes for investigation and response to indications of unlawful, unauthorized, suspicious, or unusual activity.</t>
        </is>
      </c>
      <c r="F31" s="62" t="inlineStr">
        <is>
          <t>Can you produce two things: (1) a configuration screenshot showing your logging or SIEM tool has active correlation rules — meaning rules that connect events from different systems to flag suspicious patterns (for example, a rule that fires when the same account fails login 5 times across two different systems within 10 minutes) rather than just collecting logs — AND (2) a documented finding or investigation record from the last 90 days showing one of those rules actually fired and was reviewed?</t>
        </is>
      </c>
      <c r="G31" s="62" t="n">
        <v>5</v>
      </c>
      <c r="H31" s="62" t="inlineStr">
        <is>
          <t>Common failure: pointing to a SIEM that only ingests logs with no active rules. Correlation means a rule fires when pattern A follows pattern B across systems. SIEM platforms generally ship with built-in rule templates. Note that entry-level endpoint security tiers often correlate only at the endpoint level; cross-system correlation across endpoint, identity, email, and cloud apps typically requires a higher tier or a dedicated SIEM — confirm what your current tooling actually correlates. For very small organizations without a SIEM, a documented manual log review process can satisfy this control if it meets specific requirements: review must cover at least two different log sources (for example, identity provider logs plus endpoint logs), must include a documented checklist showing cross-system correlation patterns being checked (such as failed login from System A followed by file access on System B), must follow a documented schedule with defined frequency and scope, and must produce dated review records preserved for the standard retention period. Note: this alternative path carries higher risk at C3PAO assessment than SIEM-based correlation. Document your rationale for using manual review in your SSP.</t>
        </is>
      </c>
      <c r="I31" s="62" t="n"/>
      <c r="J31" s="62" t="inlineStr">
        <is>
          <t>3.3.5</t>
        </is>
      </c>
    </row>
    <row r="32" ht="102.95" customHeight="1" s="28">
      <c r="A32" s="62" t="inlineStr">
        <is>
          <t>3.3.6</t>
        </is>
      </c>
      <c r="B32" s="62" t="inlineStr">
        <is>
          <t>AU</t>
        </is>
      </c>
      <c r="C32" s="62" t="inlineStr">
        <is>
          <t>Audit &amp; Accountability</t>
        </is>
      </c>
      <c r="D32" s="62" t="inlineStr">
        <is>
          <t>Provide audit record reduction and report generation</t>
        </is>
      </c>
      <c r="E32" s="62" t="inlineStr">
        <is>
          <t>Provide audit record reduction and report generation to support on-demand analysis and reporting.</t>
        </is>
      </c>
      <c r="F32" s="62" t="inlineStr">
        <is>
          <t>Can you produce two things: (1) a screenshot showing your logging tool can filter, search, or query logs — not just store them — and (2) a sample report or query result generated from your logs in the last 90 days showing the capability actually works?</t>
        </is>
      </c>
      <c r="G32" s="62" t="n">
        <v>1</v>
      </c>
      <c r="H32" s="62" t="inlineStr">
        <is>
          <t>Most SIEM and logging tools — including a platform's built-in event viewer — have search and filter capability. The key is demonstrating you can extract a meaningful report, not just that logs exist. Produce a sample query for failed login attempts and save the result as evidence.</t>
        </is>
      </c>
      <c r="I32" s="62" t="n"/>
      <c r="J32" s="62" t="inlineStr">
        <is>
          <t>3.3.6</t>
        </is>
      </c>
    </row>
    <row r="33" ht="141" customHeight="1" s="28">
      <c r="A33" s="62" t="inlineStr">
        <is>
          <t>3.3.7</t>
        </is>
      </c>
      <c r="B33" s="62" t="inlineStr">
        <is>
          <t>AU</t>
        </is>
      </c>
      <c r="C33" s="62" t="inlineStr">
        <is>
          <t>Audit &amp; Accountability</t>
        </is>
      </c>
      <c r="D33" s="62" t="inlineStr">
        <is>
          <t>Provide system-wide time synchronization</t>
        </is>
      </c>
      <c r="E33" s="62" t="inlineStr">
        <is>
          <t>Provide a system capability that compares and synchronizes internal system clocks with an authoritative source to generate time stamps for audit records.</t>
        </is>
      </c>
      <c r="F33" s="62" t="inlineStr">
        <is>
          <t>Can you produce two things: (1) a configuration screenshot from each type of system in your environment — servers, workstations, network devices — showing they are all synchronized to the same authoritative time source (such as time.nist.gov, pool.ntp.org, or your domain controller), AND (2) a written policy naming that time source — so that when something goes wrong, your log entries across systems line up in the correct sequence and can be trusted for investigations?</t>
        </is>
      </c>
      <c r="G33" s="62" t="n">
        <v>1</v>
      </c>
      <c r="H33" s="62" t="inlineStr">
        <is>
          <t>Common failure in hybrid environments: cloud systems sync to one time source, on-premises to another, creating time skew that breaks log correlation across systems. Standardize all systems to a single NTP source. For CUI-handling environments, consider an authoritative source such as time.nist.gov or an internal NTP server chained to a Stratum 1 source. Document the chosen source in your logging policy.</t>
        </is>
      </c>
      <c r="I33" s="62" t="n"/>
      <c r="J33" s="62" t="inlineStr">
        <is>
          <t>3.3.7</t>
        </is>
      </c>
    </row>
    <row r="34" ht="90.25" customHeight="1" s="28">
      <c r="A34" s="62" t="inlineStr">
        <is>
          <t>3.3.8</t>
        </is>
      </c>
      <c r="B34" s="62" t="inlineStr">
        <is>
          <t>AU</t>
        </is>
      </c>
      <c r="C34" s="62" t="inlineStr">
        <is>
          <t>Audit &amp; Accountability</t>
        </is>
      </c>
      <c r="D34" s="62" t="inlineStr">
        <is>
          <t>Protect audit information from unauthorized access or modification</t>
        </is>
      </c>
      <c r="E34" s="62" t="inlineStr">
        <is>
          <t>Protect audit information and audit tools from unauthorized access, modification, and deletion.</t>
        </is>
      </c>
      <c r="F34" s="62" t="inlineStr">
        <is>
          <t>Can you produce two things: (1) a permissions or access control screenshot showing that your log storage is restricted — only designated log administrators can access or modify logs — AND (2) evidence showing that the person who manages logs is different from the system administrators whose actions those logs record?</t>
        </is>
      </c>
      <c r="G34" s="62" t="n">
        <v>1</v>
      </c>
      <c r="H34" s="62" t="inlineStr">
        <is>
          <t>Common failure: system admins have write access to the logs that record their own activity — they can cover their tracks. Restrict log storage so that sysadmins can read but not modify or delete logs. A separate log administrator role (even a part-time designation) satisfies this. Document the separation in your role matrix.</t>
        </is>
      </c>
      <c r="I34" s="62" t="n"/>
      <c r="J34" s="62" t="inlineStr">
        <is>
          <t>3.3.8</t>
        </is>
      </c>
    </row>
    <row r="35" ht="77.59999999999999" customHeight="1" s="28">
      <c r="A35" s="62" t="inlineStr">
        <is>
          <t>3.3.9</t>
        </is>
      </c>
      <c r="B35" s="62" t="inlineStr">
        <is>
          <t>AU</t>
        </is>
      </c>
      <c r="C35" s="62" t="inlineStr">
        <is>
          <t>Audit &amp; Accountability</t>
        </is>
      </c>
      <c r="D35" s="62" t="inlineStr">
        <is>
          <t>Limit management of audit logging to subset of privileged users</t>
        </is>
      </c>
      <c r="E35" s="62" t="inlineStr">
        <is>
          <t>Limit management of audit logging to a subset of privileged users.</t>
        </is>
      </c>
      <c r="F35" s="62" t="inlineStr">
        <is>
          <t>Can you produce two things: (1) a role or permissions configuration showing that the ability to change logging settings is restricted to a specific named role or individual — not available to all admins — AND (2) a role matrix or record showing who currently holds that audit management privilege?</t>
        </is>
      </c>
      <c r="G35" s="62" t="n">
        <v>1</v>
      </c>
      <c r="H35" s="62" t="inlineStr">
        <is>
          <t>Create a distinct 'Audit Administrator' role in your identity system. Assign it to one or two named individuals only. Remove audit configuration access from general administrators. Document the assignment in your role matrix and review quarterly.</t>
        </is>
      </c>
      <c r="I35" s="62" t="n"/>
      <c r="J35" s="62" t="inlineStr">
        <is>
          <t>3.3.9</t>
        </is>
      </c>
    </row>
    <row r="36" ht="255.2" customHeight="1" s="28">
      <c r="A36" s="62" t="inlineStr">
        <is>
          <t>3.4.1</t>
        </is>
      </c>
      <c r="B36" s="62" t="inlineStr">
        <is>
          <t>CM</t>
        </is>
      </c>
      <c r="C36" s="62" t="inlineStr">
        <is>
          <t>Configuration Management</t>
        </is>
      </c>
      <c r="D36" s="62" t="inlineStr">
        <is>
          <t>Establish baseline configurations and inventories</t>
        </is>
      </c>
      <c r="E36" s="62" t="inlineStr">
        <is>
          <t>Establish and maintain baseline configurations and inventories of organizational systems (including hardware, software, firmware, and documentation) throughout the respective system development life cycles.</t>
        </is>
      </c>
      <c r="F36" s="62" t="inlineStr">
        <is>
          <t>This control is about defining what your systems should look like. Can you produce three things: (1) a baseline configuration document for each type of system in your environment (a baseline is a documented standard setup for a device type — for example, all Windows laptops have full-disk encryption enabled, screen lock after 10 minutes of inactivity, and no local admin accounts for end users; at small scale this usually means one baseline for laptops, one for servers if you have them, and one for mobile devices), (2) an asset inventory dated within the last 90 days listing every device, piece of software, firmware version, and network equipment — routers, switches, firewalls, and wireless access points — in your environment, AND (3) evidence that a real, in-use system matches the baseline — a screenshot or configuration export from any production system dated within the last 30 days showing its actual settings match the documented standard?</t>
        </is>
      </c>
      <c r="G36" s="62" t="n">
        <v>5</v>
      </c>
      <c r="H36" s="62" t="inlineStr">
        <is>
          <t>Common failure: asset list exists but no documented baseline — knowing what you have is not the same as knowing what it should be configured to. Start with one device type (e.g., Windows laptops, macOS laptops, or Linux servers — pick whichever represents your largest CUI-handling fleet) and document the standard build. CIS Benchmarks (cisecurity.org) provide free baseline templates for major operating systems and applications. When producing the config screenshot for (3), use a representative production system — not your best-case device. This control is directly linked to 3.4.2 (security configuration settings) — a baseline without enforcement is only half the requirement.</t>
        </is>
      </c>
      <c r="I36" s="62" t="n"/>
      <c r="J36" s="62" t="inlineStr">
        <is>
          <t>3.4.1</t>
        </is>
      </c>
    </row>
    <row r="37" ht="382.05" customHeight="1" s="28">
      <c r="A37" s="62" t="inlineStr">
        <is>
          <t>3.4.2</t>
        </is>
      </c>
      <c r="B37" s="62" t="inlineStr">
        <is>
          <t>CM</t>
        </is>
      </c>
      <c r="C37" s="62" t="inlineStr">
        <is>
          <t>Configuration Management</t>
        </is>
      </c>
      <c r="D37" s="62" t="inlineStr">
        <is>
          <t>Establish and enforce security configuration settings</t>
        </is>
      </c>
      <c r="E37" s="62" t="inlineStr">
        <is>
          <t>Establish and enforce security configuration settings for information technology products employed in organizational systems.</t>
        </is>
      </c>
      <c r="F37" s="62" t="inlineStr">
        <is>
          <t>This control is about enforcing the baseline that 3.4.1 defines. Can you produce three things: (1) a documented security configuration standard your organization follows — such as a CIS Benchmark or DISA STIG, or your own written standard that explicitly cites which CIS Benchmark or STIG it derives from with any deviations documented and justified, (2) a screenshot or configuration export dated within the last 30 days showing those settings are technically enforced — from your endpoint configuration management or mobile device management tool, AND (3) a compliance report or scan result from the last 90 days mapped to your documented standard, showing which systems meet the standard and which do not?</t>
        </is>
      </c>
      <c r="G37" s="62" t="n">
        <v>5</v>
      </c>
      <c r="H37" s="62" t="inlineStr">
        <is>
          <t>Common failure: standard documented but not enforced, or enforced but no mapped compliance proof. Both gaps fail. CIS Benchmarks are published free by the Center for Internet Security. A benchmark-mapped configuration assessment tool is the right instrument for (3). Note that cloud-platform posture-management dashboards measure platform posture but are NOT benchmark-mapped compliance reports and do not satisfy (3) on their own. If you use your own written standard, it must name which CIS Benchmark or STIG it is based on — 'based on best practices' is not sufficient. This control enforces what 3.4.1 (baseline configurations) documents — treat them as a pair. For vulnerability scanning evidence, free-tier scanner licensing terms change frequently — some impose IP-count caps, evaluation periods, or data-retention limits. Verify current terms directly with any tool you rely on, and prefer a scanner that retains persistent scan history.</t>
        </is>
      </c>
      <c r="I37" s="62" t="n"/>
      <c r="J37" s="62" t="inlineStr">
        <is>
          <t>3.4.2</t>
        </is>
      </c>
    </row>
    <row r="38" ht="229.85" customHeight="1" s="28">
      <c r="A38" s="62" t="inlineStr">
        <is>
          <t>3.4.3</t>
        </is>
      </c>
      <c r="B38" s="62" t="inlineStr">
        <is>
          <t>CM</t>
        </is>
      </c>
      <c r="C38" s="62" t="inlineStr">
        <is>
          <t>Configuration Management</t>
        </is>
      </c>
      <c r="D38" s="62" t="inlineStr">
        <is>
          <t>Track, review, approve, and log configuration changes</t>
        </is>
      </c>
      <c r="E38" s="62" t="inlineStr">
        <is>
          <t>Track, review, approve, and log changes to organizational systems.</t>
        </is>
      </c>
      <c r="F38" s="62" t="inlineStr">
        <is>
          <t>This control is about recording every change that happens. Can you produce three things: (1) a change management policy or procedure describing how changes to your systems are requested, reviewed, and approved (even a one-page written process counts — the key is that a process exists before changes are made, not after), (2) sample change records from the last 90 days — the individual entries showing how each specific change was handled, including who requested it, who approved it, and when it was made (these records must have been created at the time of the change, not assembled after the fact) — such as tickets from a service desk tool, a shared spreadsheet log, or dated email approvals, AND (3) a change log covering the last 90 days — the aggregate list showing all significant changes to systems that store or process your company's data over the full period?</t>
        </is>
      </c>
      <c r="G38" s="62" t="n">
        <v>1</v>
      </c>
      <c r="H38" s="62" t="inlineStr">
        <is>
          <t>Common failure: changes happen via chat-channel or verbal agreement with no record, or a ticketing system exists but security-relevant changes bypass it. A shared spreadsheet with columns for: date, system changed, description, requested by, approved by — is sufficient. The record must exist before or at the time of the change, not reconstructed afterward. Anything that captures who asked, who approved and when satisfies this control — a ticketing system if your team already runs one, a change log spreadsheet, or even a dated email thread with a clear approval reply. If using email threads as change records, ensure each email is dated at or before the change was made — emails assembled retroactively to create a paper trail are a common audit failure pattern (per the question's content requirement that records exist before or at the time of change, not reconstructed afterward).</t>
        </is>
      </c>
      <c r="I38" s="62" t="n"/>
      <c r="J38" s="62" t="inlineStr">
        <is>
          <t>3.4.3</t>
        </is>
      </c>
    </row>
    <row r="39" ht="179.1" customHeight="1" s="28">
      <c r="A39" s="62" t="inlineStr">
        <is>
          <t>3.4.4</t>
        </is>
      </c>
      <c r="B39" s="62" t="inlineStr">
        <is>
          <t>CM</t>
        </is>
      </c>
      <c r="C39" s="62" t="inlineStr">
        <is>
          <t>Configuration Management</t>
        </is>
      </c>
      <c r="D39" s="62" t="inlineStr">
        <is>
          <t>Analyze security impact of changes prior to implementation</t>
        </is>
      </c>
      <c r="E39" s="62" t="inlineStr">
        <is>
          <t>Analyze the security impact of changes prior to implementation.</t>
        </is>
      </c>
      <c r="F39" s="62" t="inlineStr">
        <is>
          <t>This control is about checking security impact before changes happen. Can you produce two things: (1) evidence that your change process includes a security impact check before approval (this can be as lightweight as a required field on your change ticket or a standing question: 'does this change affect who can access CUI or how it is protected?'), AND (2) sample change records from the last 90 days showing security impact was considered before each change was approved — not after — with a brief written answer on each record, for example 'security impact reviewed by [name], no CUI exposure identified' or 'affects Project X CUI share — restrict access to [role] before deploy'?</t>
        </is>
      </c>
      <c r="G39" s="62" t="n">
        <v>1</v>
      </c>
      <c r="H39" s="62" t="inlineStr">
        <is>
          <t>Common failure: changes approved with no security consideration, or a review that is a rubber-stamp with the same phrase on every record. The two example answers shown in the question are deliberately different — reviewers are expected to actually assess impact each time, not paste the same sentence. A record saying 'no CUI exposure identified' on a change that modifies access controls is a false answer and will fail at audit. The bar for small shops is intentionally low: one honest sentence per change record, written before approval, is sufficient.</t>
        </is>
      </c>
      <c r="I39" s="62" t="n"/>
      <c r="J39" s="62" t="inlineStr">
        <is>
          <t>3.4.4</t>
        </is>
      </c>
    </row>
    <row r="40" ht="229.85" customHeight="1" s="28">
      <c r="A40" s="62" t="inlineStr">
        <is>
          <t>3.4.5</t>
        </is>
      </c>
      <c r="B40" s="62" t="inlineStr">
        <is>
          <t>CM</t>
        </is>
      </c>
      <c r="C40" s="62" t="inlineStr">
        <is>
          <t>Configuration Management</t>
        </is>
      </c>
      <c r="D40" s="62" t="inlineStr">
        <is>
          <t>Define, document, approve, and enforce access restrictions for changes</t>
        </is>
      </c>
      <c r="E40" s="62" t="inlineStr">
        <is>
          <t>Define, document, approve, and enforce access restrictions associated with changes to organizational systems.</t>
        </is>
      </c>
      <c r="F40" s="62" t="inlineStr">
        <is>
          <t>This control is about restricting who is allowed to make changes. Can you produce three things: (1) a policy or written role definition stating which individuals or roles are permitted to make configuration changes to your systems (not everyone should have the ability to alter security settings, install software, or modify access controls — document who holds that authority), (2) a configuration screenshot dated within the last 30 days showing your systems technically restrict those permissions to only the approved roles (for example, standard user accounts cannot change system settings without administrator credentials, and local administrator rights are restricted to a named IT role rather than granted to every employee), AND (3) approval records from the last 90 days showing changes were authorized by a person from the approved role defined in (1) — before being made?</t>
        </is>
      </c>
      <c r="G40" s="62" t="n">
        <v>5</v>
      </c>
      <c r="H40" s="62" t="inlineStr">
        <is>
          <t>Common failure: every employee has local admin rights and can make changes without approval. Restrict system configuration rights to a named administrator role — document who holds it. This control differs from 3.4.3 (which asks whether changes are tracked) and 3.4.4 (which asks whether security impact is reviewed) — this control asks whether change authority is technically restricted to the right people. Pair with 3.4.3's change log: the log shows what changed, this control shows only authorized people could have made it.</t>
        </is>
      </c>
      <c r="I40" s="62" t="n"/>
      <c r="J40" s="62" t="inlineStr">
        <is>
          <t>3.4.5</t>
        </is>
      </c>
    </row>
    <row r="41" ht="242.5" customHeight="1" s="28">
      <c r="A41" s="62" t="inlineStr">
        <is>
          <t>3.4.6</t>
        </is>
      </c>
      <c r="B41" s="62" t="inlineStr">
        <is>
          <t>CM</t>
        </is>
      </c>
      <c r="C41" s="62" t="inlineStr">
        <is>
          <t>Configuration Management</t>
        </is>
      </c>
      <c r="D41" s="62" t="inlineStr">
        <is>
          <t>Employ the principle of least functionality</t>
        </is>
      </c>
      <c r="E41" s="62" t="inlineStr">
        <is>
          <t>Employ the principle of least functionality by configuring organizational systems to provide only essential capabilities.</t>
        </is>
      </c>
      <c r="F41" s="62" t="inlineStr">
        <is>
          <t>This control is about defining what should be running on your systems. Can you produce three things: (1) a written list of the services, ports, and protocols your systems are approved to run — for example, HTTPS on port 443 for web access, SMB on port 445 for file sharing — not a list of applications your company uses or software you have licensed, since this control is about what runs on each system type, not what you have installed, (2) a configuration screenshot dated within the last 30 days showing unnecessary services are disabled on systems that store or process your data — for example, an endpoint configuration management or MDM setting disabling print spooler, remote registry, or other services not needed for your work, AND (3) a scan result or system inventory from the last 90 days confirming only approved services are currently active — for example, a port scan or a running-services report from your endpoint management tool?</t>
        </is>
      </c>
      <c r="G41" s="62" t="n">
        <v>5</v>
      </c>
      <c r="H41" s="62" t="inlineStr">
        <is>
          <t>Common failure: default installs with everything listening — print spooler, remote registry, Telnet, FTP — none needed for CUI. Produce a listening-ports (or running-services) report for a representative host — from a network port-scanning tool or your operating system or endpoint inventory — and compare it to your approved list; disable anything not listed. If you have never done this, start with one non-production host, keep the export as evidence, then roll the same check across CUI systems. This control defines what SHOULD run; 3.4.7 (restrict nonessential functions) covers what SHOULD NOT — treat them as a pair. Start the approved list minimal: 443, 445 if needed, and your remote access solution; everything else needs a business justification.</t>
        </is>
      </c>
      <c r="I41" s="62" t="n"/>
      <c r="J41" s="62" t="inlineStr">
        <is>
          <t>3.4.6</t>
        </is>
      </c>
    </row>
    <row r="42" ht="242.5" customHeight="1" s="28">
      <c r="A42" s="62" t="inlineStr">
        <is>
          <t>3.4.7</t>
        </is>
      </c>
      <c r="B42" s="62" t="inlineStr">
        <is>
          <t>CM</t>
        </is>
      </c>
      <c r="C42" s="62" t="inlineStr">
        <is>
          <t>Configuration Management</t>
        </is>
      </c>
      <c r="D42" s="62" t="inlineStr">
        <is>
          <t>Restrict, disable, or prevent use of nonessential programs</t>
        </is>
      </c>
      <c r="E42" s="62" t="inlineStr">
        <is>
          <t>Restrict, disable, or prevent the use of nonessential programs, functions, ports, protocols, and services.</t>
        </is>
      </c>
      <c r="F42" s="62" t="inlineStr">
        <is>
          <t>This control is about disabling what should not be running on your systems. Can you produce three things: (1) a policy or written list identifying nonessential functions that are prohibited on systems handling your company's data (common examples: Bluetooth on CUI laptops, USB storage ports on servers, peer-to-peer file sharing, and legacy protocols Telnet and FTP where SSH and SFTP should be used instead), (2) a configuration screenshot dated within the last 30 days showing those functions are technically disabled or blocked — such as an endpoint configuration management setting disabling Bluetooth, a BIOS/UEFI configuration disabling USB storage, or a firewall rule blocking Telnet and FTP outbound, AND (3) a scan result or log from the last 90 days confirming the restriction is actually effective — for example, a port scan showing Telnet port 23 is closed, or an endpoint report showing USB storage is blocked?</t>
        </is>
      </c>
      <c r="G42" s="62" t="n">
        <v>5</v>
      </c>
      <c r="H42" s="62" t="inlineStr">
        <is>
          <t>Common failure: Bluetooth on CUI laptops, personal cloud storage accounts or USB drives, Telnet and FTP still active on servers — none disabled because 'nobody uses them.' An attacker will. Disable via your endpoint configuration management or mobile device management tool. Verify effectiveness with a network port-scanning tool run against your CUI systems, confirming prohibited ports are closed. This control covers what SHOULD NOT be running. 3.4.6 (least functionality) covers what SHOULD be running — treat them as a pair. Your prohibited list and 3.4.6's approved list together define the complete operating surface of each system type.</t>
        </is>
      </c>
      <c r="I42" s="62" t="n"/>
      <c r="J42" s="62" t="inlineStr">
        <is>
          <t>3.4.7</t>
        </is>
      </c>
    </row>
    <row r="43" ht="344" customHeight="1" s="28">
      <c r="A43" s="62" t="inlineStr">
        <is>
          <t>3.4.8</t>
        </is>
      </c>
      <c r="B43" s="62" t="inlineStr">
        <is>
          <t>CM</t>
        </is>
      </c>
      <c r="C43" s="62" t="inlineStr">
        <is>
          <t>Configuration Management</t>
        </is>
      </c>
      <c r="D43" s="62" t="inlineStr">
        <is>
          <t>Apply deny-by-default or allow-by-exception policy for software</t>
        </is>
      </c>
      <c r="E43" s="62" t="inlineStr">
        <is>
          <t>Apply deny-by-default (whitelisting) or allow-by-exception (blacklisting) policy on the use of software on organizational systems.</t>
        </is>
      </c>
      <c r="F43" s="62" t="inlineStr">
        <is>
          <t>Can you produce three things: (1) a policy stating your organization's approach to software on company systems — either allowlisting ('only software on the approved list may run') or blocklisting ('all software is permitted except items on the prohibited list') — both approaches are accepted by NIST 800-171; choose one and document it, (2) a configuration screenshot dated within the last 30 days showing that approach is technically enforced — from your application control mechanism or an endpoint security tool configured for blocklisting, AND (3) a sample allow or deny list from the last 90 days showing the enforcement is active — an export of your approved or blocked application list from your endpoint management tool?</t>
        </is>
      </c>
      <c r="G43" s="62" t="n">
        <v>5</v>
      </c>
      <c r="H43" s="62" t="inlineStr">
        <is>
          <t>Common failure: 'we only install approved software' with no technical enforcement — a policy alone fails this control. Honest trade-offs: Allowlisting is stricter and more secure but harder to maintain — every new approved app requires an update. Gold standard for CUI systems. Blocklisting via an endpoint detection and response tool is easier to implement but leaves gaps — unknown-bad software can still run. For most small shops, starting with a well-configured EDR blocklist is realistic. Note that some operating systems include a native application-allowlisting capability at no additional cost in certain editions; check whether you already own this before acquiring a separate tool. Disambiguation note: application allowlisting (controlling which software may execute) is a different capability from browser or application isolation (running untrusted content in a container). Isolation tools do not satisfy 3.4.8.</t>
        </is>
      </c>
      <c r="I43" s="62" t="n"/>
      <c r="J43" s="62" t="inlineStr">
        <is>
          <t>3.4.8</t>
        </is>
      </c>
    </row>
    <row r="44" ht="267.9" customHeight="1" s="28">
      <c r="A44" s="62" t="inlineStr">
        <is>
          <t>3.4.9</t>
        </is>
      </c>
      <c r="B44" s="62" t="inlineStr">
        <is>
          <t>CM</t>
        </is>
      </c>
      <c r="C44" s="62" t="inlineStr">
        <is>
          <t>Configuration Management</t>
        </is>
      </c>
      <c r="D44" s="62" t="inlineStr">
        <is>
          <t>Control and monitor user-installed software</t>
        </is>
      </c>
      <c r="E44" s="62" t="inlineStr">
        <is>
          <t>Control and monitor user-installed software.</t>
        </is>
      </c>
      <c r="F44" s="62" t="inlineStr">
        <is>
          <t>Can you produce three things: (1) a policy stating that users may not install unapproved software on company systems (this must be a written policy employees have acknowledged, not an informal expectation), (2) a configuration screenshot dated within the last 30 days showing your systems technically prevent standard users from installing software without administrator approval — an OS-level user-permission control, a device-management policy restricting app installation, or an OS integrity protection feature combined with a managed configuration profile, AND (3) a software inventory or monitoring log from the last 30 days showing what is currently installed across your systems — an export from your endpoint management tool, or the output of your operating system's native package-inventory command?</t>
        </is>
      </c>
      <c r="G44" s="62" t="n">
        <v>1</v>
      </c>
      <c r="H44" s="62" t="inlineStr">
        <is>
          <t>Common failure: users have local admin rights and install whatever they want including personal tools, browser extensions, or cracked software that could exfiltrate CUI. Three failure modes: (1) users have local admin rights with no enforcement, (2) IT has 'asked users not to install things' with no technical control, (3) no inventory or monitoring of what is installed. Fix: configure standard accounts to require admin credentials for any installation via your operating system's user-permission control or your device-management platform's application-restriction profile. Run a monthly software inventory using your operating system's native package-query or scripting interface — equivalent commands exist across Windows, macOS, and Linux. Flag anything not on your approved software list from 3.4.8.</t>
        </is>
      </c>
      <c r="I44" s="62" t="n"/>
      <c r="J44" s="62" t="inlineStr">
        <is>
          <t>3.4.9</t>
        </is>
      </c>
    </row>
    <row r="45" ht="64.90000000000001" customHeight="1" s="28">
      <c r="A45" s="62" t="inlineStr">
        <is>
          <t>3.5.1</t>
        </is>
      </c>
      <c r="B45" s="62" t="inlineStr">
        <is>
          <t>IA</t>
        </is>
      </c>
      <c r="C45" s="62" t="inlineStr">
        <is>
          <t>Identification &amp; Authentication</t>
        </is>
      </c>
      <c r="D45" s="62" t="inlineStr">
        <is>
          <t>Identify system users, processes, and devices</t>
        </is>
      </c>
      <c r="E45" s="62" t="inlineStr">
        <is>
          <t>Identify system users, processes acting on behalf of users, and devices.</t>
        </is>
      </c>
      <c r="F45" s="62" t="inlineStr">
        <is>
          <t>Can you produce a current list — from your identity system — of every person, automated process, and device that has an active account, dated within the last 30 days?</t>
        </is>
      </c>
      <c r="G45" s="62" t="n">
        <v>5</v>
      </c>
      <c r="H45" s="62" t="inlineStr">
        <is>
          <t>Export your full user and device list monthly from your identity provider. Store in your compliance folder. Disable any account not on the approved list.</t>
        </is>
      </c>
      <c r="I45" s="62" t="n"/>
      <c r="J45" s="62" t="inlineStr">
        <is>
          <t>3.5.1</t>
        </is>
      </c>
    </row>
    <row r="46" ht="77.59999999999999" customHeight="1" s="28">
      <c r="A46" s="62" t="inlineStr">
        <is>
          <t>3.5.2</t>
        </is>
      </c>
      <c r="B46" s="62" t="inlineStr">
        <is>
          <t>IA</t>
        </is>
      </c>
      <c r="C46" s="62" t="inlineStr">
        <is>
          <t>Identification &amp; Authentication</t>
        </is>
      </c>
      <c r="D46" s="62" t="inlineStr">
        <is>
          <t>Authenticate users, processes, and devices</t>
        </is>
      </c>
      <c r="E46" s="62" t="inlineStr">
        <is>
          <t>Authenticate (or verify) the identities of users, processes, or devices, as a prerequisite to allowing access to organizational systems.</t>
        </is>
      </c>
      <c r="F46" s="62" t="inlineStr">
        <is>
          <t>Can you produce a login configuration screenshot or identity provider policy showing that every person and device must log in before accessing any system that stores your company's data?</t>
        </is>
      </c>
      <c r="G46" s="62" t="n">
        <v>5</v>
      </c>
      <c r="H46" s="62" t="inlineStr">
        <is>
          <t>Audit all systems for anonymous or guest access. Any open access to data is an immediate finding. Document in your Access Control Policy that authentication is required universally.</t>
        </is>
      </c>
      <c r="I46" s="62" t="n"/>
      <c r="J46" s="62" t="inlineStr">
        <is>
          <t>3.5.2</t>
        </is>
      </c>
    </row>
    <row r="47" ht="77.59999999999999" customHeight="1" s="28">
      <c r="A47" s="62" t="inlineStr">
        <is>
          <t>3.5.3a</t>
        </is>
      </c>
      <c r="B47" s="62" t="inlineStr">
        <is>
          <t>IA</t>
        </is>
      </c>
      <c r="C47" s="62" t="inlineStr">
        <is>
          <t>Identification &amp; Authentication</t>
        </is>
      </c>
      <c r="D47" s="62" t="inlineStr">
        <is>
          <t>MFA — Privileged local access</t>
        </is>
      </c>
      <c r="E47" s="62" t="inlineStr">
        <is>
          <t>Use multifactor authentication for local access to privileged accounts.</t>
        </is>
      </c>
      <c r="F47" s="62" t="inlineStr">
        <is>
          <t>Can you produce a screenshot or config export showing MFA is required when an administrator logs in locally — directly at the machine — to any system that stores or processes your company's data?</t>
        </is>
      </c>
      <c r="G47" s="62" t="n">
        <v>0</v>
      </c>
      <c r="H47" s="62" t="inlineStr">
        <is>
          <t>Enable MFA for local admin logins using whatever second factor your systems already support — a fingerprint or face login built into the operating system, a smart card or PIV card, or a hardware security key that plugs into the USB port. Disable password-only local admin login on all systems touching CUI.</t>
        </is>
      </c>
      <c r="I47" s="62" t="n"/>
      <c r="J47" s="62" t="inlineStr">
        <is>
          <t>3.5.3</t>
        </is>
      </c>
    </row>
    <row r="48" ht="242.5" customHeight="1" s="28">
      <c r="A48" s="62" t="inlineStr">
        <is>
          <t>3.5.3b</t>
        </is>
      </c>
      <c r="B48" s="62" t="inlineStr">
        <is>
          <t>IA</t>
        </is>
      </c>
      <c r="C48" s="62" t="inlineStr">
        <is>
          <t>Identification &amp; Authentication</t>
        </is>
      </c>
      <c r="D48" s="62" t="inlineStr">
        <is>
          <t>MFA — Privileged network access</t>
        </is>
      </c>
      <c r="E48" s="62" t="inlineStr">
        <is>
          <t>Use multifactor authentication for network access to privileged accounts.</t>
        </is>
      </c>
      <c r="F48" s="62" t="inlineStr">
        <is>
          <t>Can you produce a screenshot or conditional-access policy showing MFA is enforced when any administrator account connects over the network — including VPN, remote desktop, cloud admin portals, or command-line and programmatic clients such as CLI or API access?</t>
        </is>
      </c>
      <c r="G48" s="62" t="n">
        <v>5</v>
      </c>
      <c r="H48" s="62" t="inlineStr">
        <is>
          <t>Configure your conditional-access mechanism to cover all client types — not just browser logins. Test by attempting admin login via a programmatic client (CLI or API) without MFA — it must fail. This is the most common real-world MFA bypass at audit. Conditional-access capability is often tied to a specific licensing tier of your identity platform; confirm your current tier supports it before assessment, and note in your SSP which mechanism enforces MFA across all client types. Where conditional access is unavailable, an equivalent organization-wide MFA enforcement setting may satisfy the requirement — the load-bearing requirement is MFA enforced across all client types, not any particular product feature.</t>
        </is>
      </c>
      <c r="I48" s="62" t="n"/>
      <c r="J48" s="62" t="inlineStr">
        <is>
          <t>3.5.3</t>
        </is>
      </c>
    </row>
    <row r="49" ht="191.75" customHeight="1" s="28">
      <c r="A49" s="62" t="inlineStr">
        <is>
          <t>3.5.3c</t>
        </is>
      </c>
      <c r="B49" s="62" t="inlineStr">
        <is>
          <t>IA</t>
        </is>
      </c>
      <c r="C49" s="62" t="inlineStr">
        <is>
          <t>Identification &amp; Authentication</t>
        </is>
      </c>
      <c r="D49" s="62" t="inlineStr">
        <is>
          <t>MFA — Non-privileged network access</t>
        </is>
      </c>
      <c r="E49" s="62" t="inlineStr">
        <is>
          <t>Use multifactor authentication for network access to non-privileged accounts.</t>
        </is>
      </c>
      <c r="F49" s="62" t="inlineStr">
        <is>
          <t>Can you produce a screenshot or policy showing MFA is required for all standard staff accounts when connecting over the network — for example, logging into email, VPN, or cloud applications remotely?</t>
        </is>
      </c>
      <c r="G49" s="62" t="n">
        <v>0</v>
      </c>
      <c r="H49" s="62" t="inlineStr">
        <is>
          <t>Apply MFA to all users, not just admins. Enable your identity platform's organization-wide MFA enforcement. Some platforms offer a basic no-cost enforcement setting and a more configurable conditional-access tier; either satisfies the control provided MFA is enforced for all users. Confirm which mechanism your platform provides and document it in your SSP. Test it: attempt a remote login as a standard (non-admin) user without completing MFA — it must fail.</t>
        </is>
      </c>
      <c r="I49" s="62" t="n"/>
      <c r="J49" s="62" t="inlineStr">
        <is>
          <t>3.5.3</t>
        </is>
      </c>
    </row>
    <row r="50" ht="90.25" customHeight="1" s="28">
      <c r="A50" s="62" t="inlineStr">
        <is>
          <t>3.5.3d</t>
        </is>
      </c>
      <c r="B50" s="62" t="inlineStr">
        <is>
          <t>IA</t>
        </is>
      </c>
      <c r="C50" s="62" t="inlineStr">
        <is>
          <t>Identification &amp; Authentication</t>
        </is>
      </c>
      <c r="D50" s="62" t="inlineStr">
        <is>
          <t>MFA — Legacy authentication disabled</t>
        </is>
      </c>
      <c r="E50" s="62" t="inlineStr">
        <is>
          <t>Disable legacy authentication protocols that bypass multifactor authentication.</t>
        </is>
      </c>
      <c r="F50" s="62" t="inlineStr">
        <is>
          <t>Can you produce a screenshot or configuration export showing that older login protocols — such as Basic Authentication, SMTP Auth, or their equivalents in your email or identity system — are blocked so attackers cannot bypass your MFA using a legacy connection method?</t>
        </is>
      </c>
      <c r="G50" s="62" t="n">
        <v>0</v>
      </c>
      <c r="H50" s="62" t="inlineStr">
        <is>
          <t>Block legacy/basic authentication for all users via your identity platform's organization-wide enforcement setting. Verify — do not assume.</t>
        </is>
      </c>
      <c r="I50" s="62" t="n"/>
      <c r="J50" s="62" t="inlineStr">
        <is>
          <t>3.5.3</t>
        </is>
      </c>
    </row>
    <row r="51" ht="90.25" customHeight="1" s="28">
      <c r="A51" s="62" t="inlineStr">
        <is>
          <t>3.5.4</t>
        </is>
      </c>
      <c r="B51" s="62" t="inlineStr">
        <is>
          <t>IA</t>
        </is>
      </c>
      <c r="C51" s="62" t="inlineStr">
        <is>
          <t>Identification &amp; Authentication</t>
        </is>
      </c>
      <c r="D51" s="62" t="inlineStr">
        <is>
          <t>Employ replay-resistant authentication</t>
        </is>
      </c>
      <c r="E51" s="62" t="inlineStr">
        <is>
          <t>Employ replay-resistant authentication mechanisms for network access to privileged and non-privileged accounts.</t>
        </is>
      </c>
      <c r="F51" s="62" t="inlineStr">
        <is>
          <t>Can you produce two things: (1) a written statement from your IT provider confirming your VPN and remote access use certificate or token-based authentication — not passwords sent across the network — and (2) a configuration screenshot showing the authentication method in use?</t>
        </is>
      </c>
      <c r="G51" s="62" t="n">
        <v>1</v>
      </c>
      <c r="H51" s="62" t="inlineStr">
        <is>
          <t>Modern MFA implementations from major identity platforms are inherently replay-resistant. If 3.5.3 is correctly implemented, 3.5.4 is largely satisfied. Document this linkage explicitly in your SSP.</t>
        </is>
      </c>
      <c r="I51" s="62" t="n"/>
      <c r="J51" s="62" t="inlineStr">
        <is>
          <t>3.5.4</t>
        </is>
      </c>
    </row>
    <row r="52" ht="64.90000000000001" customHeight="1" s="28">
      <c r="A52" s="62" t="inlineStr">
        <is>
          <t>3.5.5</t>
        </is>
      </c>
      <c r="B52" s="62" t="inlineStr">
        <is>
          <t>IA</t>
        </is>
      </c>
      <c r="C52" s="62" t="inlineStr">
        <is>
          <t>Identification &amp; Authentication</t>
        </is>
      </c>
      <c r="D52" s="62" t="inlineStr">
        <is>
          <t>Employ identifier management</t>
        </is>
      </c>
      <c r="E52" s="62" t="inlineStr">
        <is>
          <t>Employ identifier management for user, process, and device identifiers.</t>
        </is>
      </c>
      <c r="F52" s="62" t="inlineStr">
        <is>
          <t>Can you produce a written procedure — even a one-page document — describing how user accounts are created when someone joins and disabled on their last day, including who approves each step?</t>
        </is>
      </c>
      <c r="G52" s="62" t="n">
        <v>1</v>
      </c>
      <c r="H52" s="62" t="inlineStr">
        <is>
          <t>Write a simple onboarding and offboarding SOP. Cover: who requests a new account, who approves it, how it is created, and how it is disabled within 24 hours of departure.</t>
        </is>
      </c>
      <c r="I52" s="62" t="n"/>
      <c r="J52" s="62" t="inlineStr">
        <is>
          <t>3.5.5</t>
        </is>
      </c>
    </row>
    <row r="53" ht="64.90000000000001" customHeight="1" s="28">
      <c r="A53" s="62" t="inlineStr">
        <is>
          <t>3.5.6</t>
        </is>
      </c>
      <c r="B53" s="62" t="inlineStr">
        <is>
          <t>IA</t>
        </is>
      </c>
      <c r="C53" s="62" t="inlineStr">
        <is>
          <t>Identification &amp; Authentication</t>
        </is>
      </c>
      <c r="D53" s="62" t="inlineStr">
        <is>
          <t>Manage authenticator lifecycle</t>
        </is>
      </c>
      <c r="E53" s="62" t="inlineStr">
        <is>
          <t>Manage authenticator lifecycle including issuance, revocation, and replacement of authenticators.</t>
        </is>
      </c>
      <c r="F53" s="62" t="inlineStr">
        <is>
          <t>Can you produce a written policy showing how passwords and access tokens are managed over time — for example, what happens to an employee's credentials on their last day, and who is responsible for revoking access?</t>
        </is>
      </c>
      <c r="G53" s="62" t="n">
        <v>1</v>
      </c>
      <c r="H53" s="62" t="inlineStr">
        <is>
          <t>Document your offboarding checklist: revoke all authenticators on the last day. If you use hardware tokens or PIV cards, document the return process.</t>
        </is>
      </c>
      <c r="I53" s="62" t="n"/>
      <c r="J53" s="62" t="inlineStr">
        <is>
          <t>3.5.6</t>
        </is>
      </c>
    </row>
    <row r="54" ht="229.85" customHeight="1" s="28">
      <c r="A54" s="62" t="inlineStr">
        <is>
          <t>3.5.7</t>
        </is>
      </c>
      <c r="B54" s="62" t="inlineStr">
        <is>
          <t>IA</t>
        </is>
      </c>
      <c r="C54" s="62" t="inlineStr">
        <is>
          <t>Identification &amp; Authentication</t>
        </is>
      </c>
      <c r="D54" s="62" t="inlineStr">
        <is>
          <t>Enforce minimum password complexity</t>
        </is>
      </c>
      <c r="E54" s="62" t="inlineStr">
        <is>
          <t>Enforce a minimum password complexity and change requirements for authenticators.</t>
        </is>
      </c>
      <c r="F54" s="62" t="inlineStr">
        <is>
          <t>Can you produce a screenshot or export of your password policy — from your identity system — showing the minimum length and complexity your system technically enforces?</t>
        </is>
      </c>
      <c r="G54" s="62" t="n">
        <v>1</v>
      </c>
      <c r="H54" s="62" t="inlineStr">
        <is>
          <t>NIST 800-171 3.5.7 does not mandate a specific password length — your organization defines the threshold. Industry guidance commonly suggests 12 to 15 characters as the floor. Whatever length your policy defines must be technically enforced. NIST SP 800-63B (2024 update) now de-emphasizes mandatory character complexity requirements in favor of length-based passwords and breach-credential screening. The PASS rule requires you to document your complexity requirements and enforce them technically; it does not require traditional character-class mandates. If your identity provider supports breach-credential screening, that is now considered stronger protection than complexity rules alone.</t>
        </is>
      </c>
      <c r="I54" s="62" t="n"/>
      <c r="J54" s="62" t="inlineStr">
        <is>
          <t>3.5.7</t>
        </is>
      </c>
    </row>
    <row r="55" ht="64.90000000000001" customHeight="1" s="28">
      <c r="A55" s="62" t="inlineStr">
        <is>
          <t>3.5.8</t>
        </is>
      </c>
      <c r="B55" s="62" t="inlineStr">
        <is>
          <t>IA</t>
        </is>
      </c>
      <c r="C55" s="62" t="inlineStr">
        <is>
          <t>Identification &amp; Authentication</t>
        </is>
      </c>
      <c r="D55" s="62" t="inlineStr">
        <is>
          <t>Prohibit password reuse</t>
        </is>
      </c>
      <c r="E55" s="62" t="inlineStr">
        <is>
          <t>Prohibit password reuse for a specified number of generations.</t>
        </is>
      </c>
      <c r="F55" s="62" t="inlineStr">
        <is>
          <t>Can you produce a screenshot or configuration export showing that your systems block users from reusing recent passwords — for example, that the last 5 or more passwords are remembered and rejected?</t>
        </is>
      </c>
      <c r="G55" s="62" t="n">
        <v>1</v>
      </c>
      <c r="H55" s="62" t="inlineStr">
        <is>
          <t>Configure password history to remember at least 5 previous passwords. This must be technically enforced — a policy document alone does not satisfy this requirement.</t>
        </is>
      </c>
      <c r="I55" s="62" t="n"/>
      <c r="J55" s="62" t="inlineStr">
        <is>
          <t>3.5.8</t>
        </is>
      </c>
    </row>
    <row r="56" ht="77.59999999999999" customHeight="1" s="28">
      <c r="A56" s="62" t="inlineStr">
        <is>
          <t>3.5.9</t>
        </is>
      </c>
      <c r="B56" s="62" t="inlineStr">
        <is>
          <t>IA</t>
        </is>
      </c>
      <c r="C56" s="62" t="inlineStr">
        <is>
          <t>Identification &amp; Authentication</t>
        </is>
      </c>
      <c r="D56" s="62" t="inlineStr">
        <is>
          <t>Allow temporary password use with immediate change</t>
        </is>
      </c>
      <c r="E56" s="62" t="inlineStr">
        <is>
          <t>Allow temporary password use for system logons with an immediate change to a permanent password.</t>
        </is>
      </c>
      <c r="F56" s="62" t="inlineStr">
        <is>
          <t>Can you produce a screenshot or written procedure showing that when IT issues a temporary or reset password, the system forces the user to set a new permanent password on their very first login?</t>
        </is>
      </c>
      <c r="G56" s="62" t="n">
        <v>1</v>
      </c>
      <c r="H56" s="62" t="inlineStr">
        <is>
          <t>Enable 'User must change password at next logon' for all temporary and reset passwords. Document this step in your helpdesk password reset procedure.</t>
        </is>
      </c>
      <c r="I56" s="62" t="n"/>
      <c r="J56" s="62" t="inlineStr">
        <is>
          <t>3.5.9</t>
        </is>
      </c>
    </row>
    <row r="57" ht="77.59999999999999" customHeight="1" s="28">
      <c r="A57" s="62" t="inlineStr">
        <is>
          <t>3.5.10</t>
        </is>
      </c>
      <c r="B57" s="62" t="inlineStr">
        <is>
          <t>IA</t>
        </is>
      </c>
      <c r="C57" s="62" t="inlineStr">
        <is>
          <t>Identification &amp; Authentication</t>
        </is>
      </c>
      <c r="D57" s="62" t="inlineStr">
        <is>
          <t>Store and transmit only cryptographically protected passwords</t>
        </is>
      </c>
      <c r="E57" s="62" t="inlineStr">
        <is>
          <t>Store and transmit only cryptographically-protected passwords.</t>
        </is>
      </c>
      <c r="F57" s="62" t="inlineStr">
        <is>
          <t>Can you produce two things: (1) a written statement from your IT provider or software vendor confirming passwords are stored as irreversible hashes — never as readable text — and (2) a configuration screenshot or vendor documentation confirming passwords are never transmitted in plain text?</t>
        </is>
      </c>
      <c r="G57" s="62" t="n">
        <v>5</v>
      </c>
      <c r="H57" s="62" t="inlineStr">
        <is>
          <t>Modern identity systems handle hashing automatically. Request written confirmation from your IT provider that passwords use a modern hashing algorithm. Avoid any legacy system storing passwords in plain text.</t>
        </is>
      </c>
      <c r="I57" s="62" t="n"/>
      <c r="J57" s="62" t="inlineStr">
        <is>
          <t>3.5.10</t>
        </is>
      </c>
    </row>
    <row r="58" ht="77.59999999999999" customHeight="1" s="28">
      <c r="A58" s="62" t="inlineStr">
        <is>
          <t>3.5.11</t>
        </is>
      </c>
      <c r="B58" s="62" t="inlineStr">
        <is>
          <t>IA</t>
        </is>
      </c>
      <c r="C58" s="62" t="inlineStr">
        <is>
          <t>Identification &amp; Authentication</t>
        </is>
      </c>
      <c r="D58" s="62" t="inlineStr">
        <is>
          <t>Obscure feedback of authentication information</t>
        </is>
      </c>
      <c r="E58" s="62" t="inlineStr">
        <is>
          <t>Obscure feedback of authentication information during the authentication process.</t>
        </is>
      </c>
      <c r="F58" s="62" t="inlineStr">
        <is>
          <t>Can you produce two things: (1) a screenshot from at least three of your systems showing that password characters are hidden as dots or asterisks during login, AND (2) a written list of every login system your staff uses so the screenshots can be cross-referenced against your full environment?</t>
        </is>
      </c>
      <c r="G58" s="62" t="n">
        <v>1</v>
      </c>
      <c r="H58" s="62" t="inlineStr">
        <is>
          <t>Walk through every system login screen and confirm password fields mask input. If any show passwords in plain text, that is an immediate finding. Screenshot each as evidence.</t>
        </is>
      </c>
      <c r="I58" s="62" t="n"/>
      <c r="J58" s="62" t="inlineStr">
        <is>
          <t>3.5.11</t>
        </is>
      </c>
    </row>
    <row r="59" ht="255.2" customHeight="1" s="28">
      <c r="A59" s="62" t="inlineStr">
        <is>
          <t>3.6.1</t>
        </is>
      </c>
      <c r="B59" s="62" t="inlineStr">
        <is>
          <t>IR</t>
        </is>
      </c>
      <c r="C59" s="62" t="inlineStr">
        <is>
          <t>Incident Response</t>
        </is>
      </c>
      <c r="D59" s="62" t="inlineStr">
        <is>
          <t>Establish an operational incident-handling capability</t>
        </is>
      </c>
      <c r="E59" s="62" t="inlineStr">
        <is>
          <t>Establish an operational incident-handling capability for organizational systems that includes preparation, detection, analysis, containment, recovery, and user response activities.</t>
        </is>
      </c>
      <c r="F59" s="62" t="inlineStr">
        <is>
          <t>This control is about having a capability ready before an incident happens. Can you produce three things: (1) a written incident response plan reviewed within the last year, covering the full lifecycle — what to do when you detect something wrong, how to contain it, how to recover, and how to learn from it (a 3–5 page plan is sufficient for a small organization; the key is that it names real people and real steps, not generic placeholders downloaded from the internet), (2) a roster or designation showing who is on your incident response team and, at minimum, all four of the following external contacts: legal counsel, a forensics or IT security firm, your cyber insurance provider, and your DoD Contracting Officer contact, AND (3) evidence dated within the last 30 days that your detection capability is active — such as a screenshot of your endpoint security tool or SIEM alert configuration, or a documented manual log-review schedule with at least one recent review record showing it was followed?</t>
        </is>
      </c>
      <c r="G59" s="62" t="n">
        <v>5</v>
      </c>
      <c r="H59" s="62" t="inlineStr">
        <is>
          <t>Common failure: plan exists but names no real people, has no external contacts, and detection capability is 'we would notice.' A plan without preparation is shelfware. At minimum: name your IR lead and backup, have a forensics firm on a call list, know your cyber insurance policy number and claims contact, and know your CO's name. Small shops without EDR can satisfy detection via a weekly calendar-scheduled manual review of the built-in security event log on your Windows, macOS, or Linux systems, documented with a dated summary — 30 minutes, no additional cost, auditable. This control is about readiness before the incident. 3.6.2 covers what you do during and after — treat them as a pair.</t>
        </is>
      </c>
      <c r="I59" s="62" t="n"/>
      <c r="J59" s="62" t="inlineStr">
        <is>
          <t>3.6.1</t>
        </is>
      </c>
    </row>
    <row r="60" ht="711.9" customHeight="1" s="28">
      <c r="A60" s="62" t="inlineStr">
        <is>
          <t>3.6.2</t>
        </is>
      </c>
      <c r="B60" s="62" t="inlineStr">
        <is>
          <t>IR</t>
        </is>
      </c>
      <c r="C60" s="62" t="inlineStr">
        <is>
          <t>Incident Response</t>
        </is>
      </c>
      <c r="D60" s="62" t="inlineStr">
        <is>
          <t>Track, document, and report incidents</t>
        </is>
      </c>
      <c r="E60" s="62" t="inlineStr">
        <is>
          <t>Track, document, and report incidents to designated officials and/or authorities both internal and external to the organization.</t>
        </is>
      </c>
      <c r="F60" s="62" t="inlineStr">
        <is>
          <t>This control is about what you actually do when an incident occurs. Can you produce three things: (1) an incident tracking system or log showing the standard fields you capture for every incident — at minimum: date detected, systems affected, nature of incident, actions taken, and resolution (a shared spreadsheet or ticketing system is sufficient), (2) a written procedure documenting your DoD reporting obligation — specifically, that cyber incidents affecting CUI must be reported to the DoD through DC3's DIB Cybersecurity (DCISE) incident reporting process, formerly DIBNet, within 72 hours of discovery (the 72-hour clock starts the moment you detect the incident, not when investigation is complete — report first, investigate in parallel), and naming who at your organization is responsible for making that report, AND (3) an internal escalation procedure showing who gets notified inside your organization when an incident is detected — who decides whether it is reportable, who approves the external report, and who communicates with affected parties AND (4) a procedure documenting how your organization fulfills two additional DFARS 252.204-7012 requirements: (a) preserving images of all known affected information systems for at least 90 days following the cyber incident report, and (b) submitting any malware discovered and isolated in connection with the incident to the DoD Cyber Crime Center (DC3) at dc3.mil?</t>
        </is>
      </c>
      <c r="G60" s="62" t="n">
        <v>5</v>
      </c>
      <c r="H60" s="62" t="inlineStr">
        <is>
          <t>Common failure: informal handling with no log, no awareness of the 72-hour DoD reporting window, and unclear who makes the call. The 72-hour clock starts at discovery — not when you finish investigating. Report first, investigate in parallel. As of June 6, 2025, the DIBNet portal was decommissioned; the dibnet.dod.mil URL still resolves but redirects to the DC3 DCISE landing page at dc3.mil/Missions/DIB-Cybersecurity/DIB-Cybersecurity-DCISE/. Cyber incident reports under DFARS 252.204-7012 are now submitted via the new ICF (Incident Collection Format) portal at icf.dcise.cert.org — bookmark it, know your CAGE code, test that you have access before you need it. The new submission workflow is two-step: (a) the icf.dcise.cert.org portal generates a .xml ICF file containing your incident details; (b) you must then submit that .xml file separately to DC3 via encrypted email or DoD SAFE to dc3.dcise@us.af.mil. DC3 will return an incident number and a text-formatted copy of the report for your records. This control covers what you do during and after. 3.6.1 covers the capability you need ready before — treat them as a pair. DFARS 252.204-7012 includes two requirements beyond the 72-hour report that contractors frequently miss: (1) Image preservation — preserve images of all affected information systems for at least 90 days from incident report submission. This means full disk images, not just log copies. Many SMB IR plans omit this entirely, leading to a DFARS violation even when the report was timely. (2) DC3 malware submission — any malware discovered and isolated during the incident must be submitted to DC3 (current submission instructions at dc3.mil). Document who at your organization holds this responsibility and how submission is performed. Both procedures should be tested during your annual IR tabletop exercise. Critical operational note: accessing icf.dcise.cert.org requires a DoD-Approved Medium Assurance Certificate — typically a Common Access Card (CAC) or an External Certificate Authority (ECA) PKI certificate. DISA's ECA program administers PKI certificates for contractors who do not have CAC access. Obtaining this certificate before an incident occurs is mandatory — it can take days to weeks to procure, and a contractor who discovers they need one during an active incident will miss the 72-hour reporting window, resulting in a DFARS violation on top of the incident itself. Contractors without a Medium Assurance Certificate can email dc3.dcise@us.af.mil or call the DC3 DCISE hotline at 410-981-0104 (or 1-877-838-2174 toll-free) to coordinate alternate submission. Verify now: confirm your Medium Assurance Certificate is valid and not expired, test access to icf.dcise.cert.org, and ensure at least one backup person can also submit reports.</t>
        </is>
      </c>
      <c r="I60" s="62" t="n"/>
      <c r="J60" s="62" t="inlineStr">
        <is>
          <t>3.6.2</t>
        </is>
      </c>
    </row>
    <row r="61" ht="191.75" customHeight="1" s="28">
      <c r="A61" s="62" t="inlineStr">
        <is>
          <t>3.6.3</t>
        </is>
      </c>
      <c r="B61" s="62" t="inlineStr">
        <is>
          <t>IR</t>
        </is>
      </c>
      <c r="C61" s="62" t="inlineStr">
        <is>
          <t>Incident Response</t>
        </is>
      </c>
      <c r="D61" s="62" t="inlineStr">
        <is>
          <t>Test the incident response capability</t>
        </is>
      </c>
      <c r="E61" s="62" t="inlineStr">
        <is>
          <t>Test the organizational incident response capability.</t>
        </is>
      </c>
      <c r="F61" s="62" t="inlineStr">
        <is>
          <t>This control is about proving your plan actually works by testing it. Can you produce three things: (1) a record of an incident response test conducted within the last year — a tabletop exercise where key personnel walked through a scenario is sufficient (for example: 'a staff member clicked a phishing link — walk through who does what, in what order, and what gets reported to whom'), (2) documented findings from that test showing what worked, what did not, and what gaps were identified, AND (3) evidence that your incident response plan was reviewed or updated based on the test findings — even a brief note confirming the plan was reviewed and no changes were needed counts, as long as it is dated after the test?</t>
        </is>
      </c>
      <c r="G61" s="62" t="n">
        <v>1</v>
      </c>
      <c r="H61" s="62" t="inlineStr">
        <is>
          <t>Common failure: plan was created but never tested, or tested years ago without documentation, or tested without recording findings. A tabletop exercise requires only 1–2 hours and a few key people. Pick a realistic scenario for a defense contractor: ransomware on a CUI workstation, a phishing email that succeeded, a disgruntled employee accessing files before departure. Walk through your IR plan step by step and document where it held up and where it broke down. The test is only as useful as what you do with the findings — update the plan, even if only to confirm it still applies.</t>
        </is>
      </c>
      <c r="I61" s="62" t="n"/>
      <c r="J61" s="62" t="inlineStr">
        <is>
          <t>3.6.3</t>
        </is>
      </c>
    </row>
    <row r="62" ht="166.4" customHeight="1" s="28">
      <c r="A62" s="62" t="inlineStr">
        <is>
          <t>3.7.1</t>
        </is>
      </c>
      <c r="B62" s="62" t="inlineStr">
        <is>
          <t>MA</t>
        </is>
      </c>
      <c r="C62" s="62" t="inlineStr">
        <is>
          <t>Maintenance</t>
        </is>
      </c>
      <c r="D62" s="62" t="inlineStr">
        <is>
          <t>Perform maintenance on organizational systems</t>
        </is>
      </c>
      <c r="E62" s="62" t="inlineStr">
        <is>
          <t>Perform maintenance on organizational systems.</t>
        </is>
      </c>
      <c r="F62" s="62" t="inlineStr">
        <is>
          <t>Can you produce three things: (1) a maintenance policy or procedure describing how scheduled maintenance is planned and carried out on systems that store or process your company's data (even a simple annual schedule with named responsible parties counts), (2) maintenance records from the last 90 days showing what maintenance was performed, on which systems, by whom, and when — such as patch logs, service tickets, or a maintenance log, AND (3) evidence that the maintenance was performed on schedule — for example, a comparison showing the planned maintenance dates and the actual completion dates?</t>
        </is>
      </c>
      <c r="G62" s="62" t="n">
        <v>3</v>
      </c>
      <c r="H62" s="62" t="inlineStr">
        <is>
          <t>Common failure: reactive-only maintenance with no schedule and fixes logged only in email. Create a simple maintenance calendar: monthly patching, quarterly hardware checks, annual full review. Your MSP's service tickets often satisfy clause (2) automatically — ask them for a 90-day maintenance summary. For clause (3) (schedule adherence), compare your planned maintenance calendar against the MSP's completion dates. Supplement with in-house records where your own IT performs maintenance directly — MSP tickets do not capture work done by internal staff.</t>
        </is>
      </c>
      <c r="I62" s="62" t="n"/>
      <c r="J62" s="62" t="inlineStr">
        <is>
          <t>3.7.1</t>
        </is>
      </c>
    </row>
    <row r="63" ht="217.15" customHeight="1" s="28">
      <c r="A63" s="62" t="inlineStr">
        <is>
          <t>3.7.2</t>
        </is>
      </c>
      <c r="B63" s="62" t="inlineStr">
        <is>
          <t>MA</t>
        </is>
      </c>
      <c r="C63" s="62" t="inlineStr">
        <is>
          <t>Maintenance</t>
        </is>
      </c>
      <c r="D63" s="62" t="inlineStr">
        <is>
          <t>Provide controls on maintenance tools, techniques, and personnel</t>
        </is>
      </c>
      <c r="E63" s="62" t="inlineStr">
        <is>
          <t>Provide controls on the tools, techniques, mechanisms, and personnel used to conduct system maintenance.</t>
        </is>
      </c>
      <c r="F63" s="62" t="inlineStr">
        <is>
          <t>Can you produce three things: (1) a list of approved maintenance tools and techniques that are permitted to be used on systems handling your company's data — this includes tools your own IT staff use AND tools brought in by external technicians or your MSP, (2) a policy or procedure requiring that any external tool — including a technician's laptop, USB drive, or diagnostic software — must be approved in writing by a designated employee of your organization (not by the technician themselves) before being connected to your systems, AND (3) records from the last 90 days showing that external tools were actually pre-approved in writing before use — such as a maintenance ticket noting the tools used, their approval status, and who approved them, dated before work began and not a blanket standing approval covering all future sessions?</t>
        </is>
      </c>
      <c r="G63" s="62" t="n">
        <v>5</v>
      </c>
      <c r="H63" s="62" t="inlineStr">
        <is>
          <t>Common failure: external technician or MSP plugs in their own USB drive or diagnostic laptop with no pre-approval or scanning. This is one of the most underestimated attack vectors for defense contractors. Your MSP may be trustworthy — but their tools may have touched dozens of other client environments. Require written approval of all external tools before connection to any CUI system. Log every instance.</t>
        </is>
      </c>
      <c r="I63" s="62" t="n"/>
      <c r="J63" s="62" t="inlineStr">
        <is>
          <t>3.7.2</t>
        </is>
      </c>
    </row>
    <row r="64" ht="166.4" customHeight="1" s="28">
      <c r="A64" s="62" t="inlineStr">
        <is>
          <t>3.7.3</t>
        </is>
      </c>
      <c r="B64" s="62" t="inlineStr">
        <is>
          <t>MA</t>
        </is>
      </c>
      <c r="C64" s="62" t="inlineStr">
        <is>
          <t>Maintenance</t>
        </is>
      </c>
      <c r="D64" s="62" t="inlineStr">
        <is>
          <t>Ensure equipment removed for off-site maintenance is sanitized</t>
        </is>
      </c>
      <c r="E64" s="62" t="inlineStr">
        <is>
          <t>Ensure equipment removed for off-site maintenance is sanitized of any CUI.</t>
        </is>
      </c>
      <c r="F64" s="62" t="inlineStr">
        <is>
          <t>This control is about cleaning equipment before it leaves your premises. Can you produce two things: (1) a policy or procedure describing what happens to CUI before equipment is sent off-site for maintenance — either (a) CUI is wiped from the device before it leaves your premises using a documented sanitization method, or (b) equipment sent off-site is confirmed to contain no CUI at the time of removal; both paths are acceptable, AND (2) records from the last 90 days showing that for each piece of equipment sent off-site, either the sanitization was performed and documented or the CUI-free status was confirmed before the equipment left?</t>
        </is>
      </c>
      <c r="G64" s="62" t="n">
        <v>1</v>
      </c>
      <c r="H64" s="62" t="inlineStr">
        <is>
          <t>Common failure: laptops sent to vendor for repair with CUI still on the drive, or hard drives returned to manufacturer for warranty replacement without wiping. Either path satisfies this control: wipe before shipping, or confirm no CUI was present. For wiping, NIST SP 800-88 defines acceptable sanitization methods — 'Clear' (overwrite) is sufficient for most media. For warranty replacements where the drive must be returned, request a certificate of destruction from the manufacturer.</t>
        </is>
      </c>
      <c r="I64" s="62" t="n"/>
      <c r="J64" s="62" t="inlineStr">
        <is>
          <t>3.7.3</t>
        </is>
      </c>
    </row>
    <row r="65" ht="179.1" customHeight="1" s="28">
      <c r="A65" s="62" t="inlineStr">
        <is>
          <t>3.7.4</t>
        </is>
      </c>
      <c r="B65" s="62" t="inlineStr">
        <is>
          <t>MA</t>
        </is>
      </c>
      <c r="C65" s="62" t="inlineStr">
        <is>
          <t>Maintenance</t>
        </is>
      </c>
      <c r="D65" s="62" t="inlineStr">
        <is>
          <t>Check maintenance media for malicious code before use</t>
        </is>
      </c>
      <c r="E65" s="62" t="inlineStr">
        <is>
          <t>Check media containing diagnostic and test programs for malicious code before the media are used in organizational systems.</t>
        </is>
      </c>
      <c r="F65" s="62" t="inlineStr">
        <is>
          <t>This control is about scanning equipment before it enters your premises. Can you produce three things: (1) a policy requiring that any USB drive, diagnostic laptop, software installer, or other portable tool or media introduced by a maintenance technician must be scanned for malicious code before being connected to or run on any system in your environment, (2) records from the last 90 days showing that scans were actually performed before tools were used — such as a maintenance log entry noting 'scanned with [tool] on [date], result: clean' before work began, AND (3) a screenshot of your scanning tool configuration dated within the last 30 days showing it is active and up to date?</t>
        </is>
      </c>
      <c r="G65" s="62" t="n">
        <v>3</v>
      </c>
      <c r="H65" s="62" t="inlineStr">
        <is>
          <t>Common failure: external technician's USB or diagnostic laptop used on a CUI system with no scan — this is the 'USB in the parking lot' attack vector, except the USB arrives in a technician's toolkit. A trusted MSP is not an excuse to skip scanning; their tools may have been on a compromised client environment last week. Require pre-scan as a condition of access. Most endpoint security tools can scan a USB on insertion — configure this to be automatic and log the result.</t>
        </is>
      </c>
      <c r="I65" s="62" t="n"/>
      <c r="J65" s="62" t="inlineStr">
        <is>
          <t>3.7.4</t>
        </is>
      </c>
    </row>
    <row r="66" ht="229.85" customHeight="1" s="28">
      <c r="A66" s="62" t="inlineStr">
        <is>
          <t>3.7.5</t>
        </is>
      </c>
      <c r="B66" s="62" t="inlineStr">
        <is>
          <t>MA</t>
        </is>
      </c>
      <c r="C66" s="62" t="inlineStr">
        <is>
          <t>Maintenance</t>
        </is>
      </c>
      <c r="D66" s="62" t="inlineStr">
        <is>
          <t>Require MFA for remote maintenance sessions</t>
        </is>
      </c>
      <c r="E66" s="62" t="inlineStr">
        <is>
          <t>Require MFA for remote maintenance sessions and terminate such connections when maintenance is complete.</t>
        </is>
      </c>
      <c r="F66" s="62" t="inlineStr">
        <is>
          <t>Can you produce three things: (1) a policy requiring that any remote maintenance session — including MSP remote access, vendor support connections, or IT staff working from home on your systems — must use multifactor authentication AND be terminated when the maintenance work is complete (not left open for convenience or persistent access), (2) a configuration screenshot dated within the last 30 days showing MFA is technically enforced on your remote maintenance access method — your VPN, your remote desktop solution, or the remote monitoring and management (RMM) software your IT provider uses to log into your machines — AND showing session timeout or disconnect settings are configured to prevent indefinite persistent access, AND (3) authentication and session logs from the last 30 days showing MFA was required during recent remote maintenance sessions AND that each session has a recorded end time?</t>
        </is>
      </c>
      <c r="G66" s="62" t="n">
        <v>5</v>
      </c>
      <c r="H66" s="62" t="inlineStr">
        <is>
          <t>Common failure: MSP VPN access that bypasses MFA, or RMM tools configured with only username and password. Second common failure: persistent MSP sessions left open 24/7 because 'it's easier' — this is a well-documented SMB pattern and exactly the attack surface this control closes. If MFA on remote access is already demonstrated under 3.5.3, that evidence may cross-satisfy the MFA half if it covers MSP/vendor sessions specifically — but 3.5.3 evidence will not cover session termination. Both halves must be addressed separately.</t>
        </is>
      </c>
      <c r="I66" s="62" t="n"/>
      <c r="J66" s="62" t="inlineStr">
        <is>
          <t>3.7.5</t>
        </is>
      </c>
    </row>
    <row r="67" ht="191.75" customHeight="1" s="28">
      <c r="A67" s="62" t="inlineStr">
        <is>
          <t>3.7.6</t>
        </is>
      </c>
      <c r="B67" s="62" t="inlineStr">
        <is>
          <t>MA</t>
        </is>
      </c>
      <c r="C67" s="62" t="inlineStr">
        <is>
          <t>Maintenance</t>
        </is>
      </c>
      <c r="D67" s="62" t="inlineStr">
        <is>
          <t>Supervise maintenance activities of personnel without required access</t>
        </is>
      </c>
      <c r="E67" s="62" t="inlineStr">
        <is>
          <t>Supervise the maintenance activities of maintenance personnel without required access authorization.</t>
        </is>
      </c>
      <c r="F67" s="62" t="inlineStr">
        <is>
          <t>Can you produce two things: (1) a policy or procedure stating that any maintenance technician who does not have a background check or security clearance appropriate for your CUI environment must be supervised by an authorized employee during all maintenance activities — with supervision including confirmation that CUI access was restricted to what the technician needed to work on, AND (2) records from the last 90 days documenting each supervised session — who supervised, what work was done, and that CUI access was appropriately restricted during the session — such as a service ticket signed by the supervising employee, a calendar entry showing the supervisor attended a screen-share session, or a visit log for on-site work?</t>
        </is>
      </c>
      <c r="G67" s="62" t="n">
        <v>1</v>
      </c>
      <c r="H67" s="62" t="inlineStr">
        <is>
          <t>Common failure: vendor technician left alone with CUI-bearing systems while staff work in another room. Supervision does not require watching every keystroke — it requires an authorized employee present and attentive. For remote maintenance, screen-sharing counts as supervision if someone is actively monitoring. For on-site work, any authorized employee can supervise — it does not have to be your IT person. Document every supervised session with a brief note: who supervised, what work was done, that CUI access was restricted to what was necessary.</t>
        </is>
      </c>
      <c r="I67" s="62" t="n"/>
      <c r="J67" s="62" t="inlineStr">
        <is>
          <t>3.7.6</t>
        </is>
      </c>
    </row>
    <row r="68" ht="179.1" customHeight="1" s="28">
      <c r="A68" s="62" t="inlineStr">
        <is>
          <t>3.8.1</t>
        </is>
      </c>
      <c r="B68" s="62" t="inlineStr">
        <is>
          <t>MP</t>
        </is>
      </c>
      <c r="C68" s="62" t="inlineStr">
        <is>
          <t>Media Protection</t>
        </is>
      </c>
      <c r="D68" s="62" t="inlineStr">
        <is>
          <t>Physically control and store CUI media</t>
        </is>
      </c>
      <c r="E68" s="62" t="inlineStr">
        <is>
          <t>Protect (i.e., physically control and securely store) system media containing CUI, both paper and digital.</t>
        </is>
      </c>
      <c r="F68" s="62" t="inlineStr">
        <is>
          <t>This control is about physically securing media that contains CUI. Can you produce three things: (1) a media handling policy describing how physical and digital media containing CUI — including printed documents, USB drives, external hard drives, and backup tapes — must be stored and protected, (2) physical security evidence from the last 90 days showing CUI media is actually stored securely — such as a photo or description of the locked cabinet, safe, or secured room where CUI media is kept, along with an access log showing who has the key or combination, AND (3) a media inventory from the last 90 days listing what CUI-bearing media exists, where it is stored, and who is responsible for it?</t>
        </is>
      </c>
      <c r="G68" s="62" t="n">
        <v>3</v>
      </c>
      <c r="H68" s="62" t="inlineStr">
        <is>
          <t>Common failure: CUI printouts on desks, backup drives in unlocked cabinets, no tracking of what media exists. A locked filing cabinet with a sign-out log satisfies physical security for most small contractors. The inventory does not need to be elaborate — a spreadsheet listing each USB drive or external drive, its contents, location, and custodian is sufficient. Pair with 3.8.2, which controls who can access the media you store here.</t>
        </is>
      </c>
      <c r="I68" s="62" t="n"/>
      <c r="J68" s="62" t="inlineStr">
        <is>
          <t>3.8.1</t>
        </is>
      </c>
    </row>
    <row r="69" ht="217.15" customHeight="1" s="28">
      <c r="A69" s="62" t="inlineStr">
        <is>
          <t>3.8.2</t>
        </is>
      </c>
      <c r="B69" s="62" t="inlineStr">
        <is>
          <t>MP</t>
        </is>
      </c>
      <c r="C69" s="62" t="inlineStr">
        <is>
          <t>Media Protection</t>
        </is>
      </c>
      <c r="D69" s="62" t="inlineStr">
        <is>
          <t>Limit access to CUI on media</t>
        </is>
      </c>
      <c r="E69" s="62" t="inlineStr">
        <is>
          <t>Limit access to CUI on system media to authorized users.</t>
        </is>
      </c>
      <c r="F69" s="62" t="inlineStr">
        <is>
          <t>This control is about restricting who can access CUI media. Can you produce three things: (1) an access control policy stating which individuals or roles are authorized to access CUI-bearing media — physical and digital, (2) access logs or records from the last 30 days showing who accessed CUI media and when — such as a sign-out log for physical media, access control logs for encrypted drives, or file access logs for digital CUI storage, AND (3) a current list of authorized users for CUI media, reviewed within the last 90 days, confirming only appropriate personnel have access AND (4) a configuration screenshot or export dated within the last 90 days — such as file or folder permissions, your collaboration platform's access settings, or encrypted drive access controls — confirming that access to CUI-bearing media is technically restricted to the authorized user list?</t>
        </is>
      </c>
      <c r="G69" s="62" t="n">
        <v>3</v>
      </c>
      <c r="H69" s="62" t="inlineStr">
        <is>
          <t>Common failure: no tracking of who accesses physical media, or digital CUI accessible to everyone on the network with no individual accountability. For physical media, a simple sign-out sheet satisfies the log requirement. For digital CUI, file access logging in your file or collaboration platform — or filesystem-level permissions on traditional file shares — provides the evidence. Pair with 3.8.1 — that control protects the physical storage; this one controls the human access to what is stored.</t>
        </is>
      </c>
      <c r="I69" s="62" t="n"/>
      <c r="J69" s="62" t="inlineStr">
        <is>
          <t>3.8.2</t>
        </is>
      </c>
    </row>
    <row r="70" ht="229.85" customHeight="1" s="28">
      <c r="A70" s="62" t="inlineStr">
        <is>
          <t>3.8.3</t>
        </is>
      </c>
      <c r="B70" s="62" t="inlineStr">
        <is>
          <t>MP</t>
        </is>
      </c>
      <c r="C70" s="62" t="inlineStr">
        <is>
          <t>Media Protection</t>
        </is>
      </c>
      <c r="D70" s="62" t="inlineStr">
        <is>
          <t>Sanitize or destroy media before disposal</t>
        </is>
      </c>
      <c r="E70" s="62" t="inlineStr">
        <is>
          <t>Sanitize or destroy system media before disposal or reuse.</t>
        </is>
      </c>
      <c r="F70" s="62" t="inlineStr">
        <is>
          <t>Can you produce three things: (1) a sanitization policy referencing an approved method — such as NIST SP 800-88, which defines Clear (overwrite), Purge (cryptographic erase or degauss), and Destroy (physical destruction) as acceptable methods — stating which method your organization uses for each media type, (2) per-device destruction or sanitization records showing date, media description, method used, and the name of the person who performed or witnessed the sanitization, AND (3) a sanitization method SOP — even a one-page procedure — describing the step-by-step process your staff follows when a device is being retired or reused?</t>
        </is>
      </c>
      <c r="G70" s="62" t="n">
        <v>5</v>
      </c>
      <c r="H70" s="62" t="inlineStr">
        <is>
          <t>Common failure: servers sold or recycled unwiped, drives donated without sanitization, 'format' or 'delete all files' treated as sanitization — neither satisfies NIST 800-88. For most small contractors: Clear (a multi-pass overwrite, or crypto-erase where full-disk encryption is already in use) is sufficient for drives. Destroy (shred) for drives that cannot be wiped (failed drives, SSDs in warranty return). For warranty replacements, request a certificate of destruction from the manufacturer. This control overlaps with MA 3.7.3 in method — the difference is context: 3.7.3 covers equipment leaving for repair; this control covers equipment leaving permanently. Purge is a deeper erase used for SSDs (ATA Secure Erase) or magnetic media (degaussing) — less common at small scale but required for media that cannot be safely overwritten.</t>
        </is>
      </c>
      <c r="I70" s="62" t="n"/>
      <c r="J70" s="62" t="inlineStr">
        <is>
          <t>3.8.3</t>
        </is>
      </c>
    </row>
    <row r="71" ht="166.4" customHeight="1" s="28">
      <c r="A71" s="62" t="inlineStr">
        <is>
          <t>3.8.4</t>
        </is>
      </c>
      <c r="B71" s="62" t="inlineStr">
        <is>
          <t>MP</t>
        </is>
      </c>
      <c r="C71" s="62" t="inlineStr">
        <is>
          <t>Media Protection</t>
        </is>
      </c>
      <c r="D71" s="62" t="inlineStr">
        <is>
          <t>Mark media with necessary CUI markings</t>
        </is>
      </c>
      <c r="E71" s="62" t="inlineStr">
        <is>
          <t>Mark media with necessary CUI markings and distribution limitations.</t>
        </is>
      </c>
      <c r="F71" s="62" t="inlineStr">
        <is>
          <t>Can you produce three things: (1) a marking policy or procedure stating how CUI must be labeled on physical media (printed documents, USB drives, external drives) and digital files (document headers, folder names, email subject lines), (2) samples of correctly marked CUI media from the last 90 days — such as a photo of a labeled USB drive or external drive, a screenshot of a digital file with the CUI header, or a sample printed document with the CUI banner, AND (3) a marking SOP or training record showing staff know how to apply CUI markings — including what the marking must say and where it must appear?</t>
        </is>
      </c>
      <c r="G71" s="62" t="n">
        <v>1</v>
      </c>
      <c r="H71" s="62" t="inlineStr">
        <is>
          <t>Common failure: CUI folders, drives, and printouts are unlabeled; staff mark some things but not others because there is no consistent procedure. CUI markings follow the National Archives CUI Registry format — 'CUI' is the minimum marking. For documents, place the marking in the header and footer. For USB drives, use a physical label. For email, include 'CUI' in the subject line. The marking procedure is also a training opportunity — make sure all staff know what CUI looks like and how to handle it when they see it.</t>
        </is>
      </c>
      <c r="I71" s="62" t="n"/>
      <c r="J71" s="62" t="inlineStr">
        <is>
          <t>3.8.4</t>
        </is>
      </c>
    </row>
    <row r="72" ht="166.4" customHeight="1" s="28">
      <c r="A72" s="62" t="inlineStr">
        <is>
          <t>3.8.5</t>
        </is>
      </c>
      <c r="B72" s="62" t="inlineStr">
        <is>
          <t>MP</t>
        </is>
      </c>
      <c r="C72" s="62" t="inlineStr">
        <is>
          <t>Media Protection</t>
        </is>
      </c>
      <c r="D72" s="62" t="inlineStr">
        <is>
          <t>Control CUI media transport outside controlled areas</t>
        </is>
      </c>
      <c r="E72" s="62" t="inlineStr">
        <is>
          <t>Control access to media containing CUI and maintain accountability for media during transport outside of controlled areas.</t>
        </is>
      </c>
      <c r="F72" s="62" t="inlineStr">
        <is>
          <t>This control is about tracking CUI media when it leaves your premises. Can you produce three things: (1) a transport policy defining how CUI media may be transported outside your controlled environment — who is authorized to transport it, what approval is required, and what documentation must accompany the transport, (2) transport records from the last 90 days showing chain of custody for each instance CUI media left your premises — including what was transported, by whom, to where, when it departed, and when it was returned or delivered, AND (3) a current list of personnel authorized to transport CUI media outside your controlled areas?</t>
        </is>
      </c>
      <c r="G72" s="62" t="n">
        <v>1</v>
      </c>
      <c r="H72" s="62" t="inlineStr">
        <is>
          <t>Common failure: employee takes a USB drive or laptop home with no record, drives shipped via regular mail with no tracking, media transported by unauthorized personnel. A simple transport log — media description, authorized carrier, departure date, destination, return/receipt date — satisfies chain of custody. This control tracks the movement. 3.8.6 covers the protection of that media while it moves — treat them as a pair.</t>
        </is>
      </c>
      <c r="I72" s="62" t="n"/>
      <c r="J72" s="62" t="inlineStr">
        <is>
          <t>3.8.5</t>
        </is>
      </c>
    </row>
    <row r="73" ht="255.2" customHeight="1" s="28">
      <c r="A73" s="62" t="inlineStr">
        <is>
          <t>3.8.6</t>
        </is>
      </c>
      <c r="B73" s="62" t="inlineStr">
        <is>
          <t>MP</t>
        </is>
      </c>
      <c r="C73" s="62" t="inlineStr">
        <is>
          <t>Media Protection</t>
        </is>
      </c>
      <c r="D73" s="62" t="inlineStr">
        <is>
          <t>Implement cryptographic mechanisms for CUI transport</t>
        </is>
      </c>
      <c r="E73" s="62" t="inlineStr">
        <is>
          <t>Implement cryptographic mechanisms to protect the confidentiality of CUI during transport unless otherwise protected by alternative physical safeguards.</t>
        </is>
      </c>
      <c r="F73" s="62" t="inlineStr">
        <is>
          <t>This control is about protecting CUI media while it moves. Can you produce three things: (1) a policy stating which transport protection approach your organization uses — either (a) cryptographic encryption on all portable media and devices containing CUI in transport (your operating system's native full-disk encryption, or hardware-encrypted USB drives), or (b) alternative physical safeguards such as armed courier or tamper-evident sealed containers — both paths are accepted by NIST 800-171, but your policy must state which approach you have chosen and apply it consistently, (2) evidence that your chosen approach is in place — if encryption: a configuration screenshot dated within the last 30 days showing full-disk encryption is enabled on all portable CUI devices; if physical safeguards: documentation of the safeguard type and its application, AND (3) records from the last 90 days confirming the chosen protection was actually applied on recent transports?</t>
        </is>
      </c>
      <c r="G73" s="62" t="n">
        <v>1</v>
      </c>
      <c r="H73" s="62" t="inlineStr">
        <is>
          <t>Common failure: unencrypted laptops transported to client sites, USB drives without full-disk encryption (use your operating system's native full-disk encryption, a cross-platform encryption tool, or hardware-encrypted USB devices), password-protected ZIP files treated as encryption (they are not — ZIP passwords use weak algorithms with no key management and do not satisfy this control). Pick one path and document it. An organization that sometimes encrypts and sometimes uses physical safeguards with no policy stating which applies when will fail at audit even if every individual transport was protected. If your reality requires both paths, your policy must define the specific conditions under which each applies. This control protects what 3.8.5 tracks — treat them as a pair.</t>
        </is>
      </c>
      <c r="I73" s="62" t="n"/>
      <c r="J73" s="62" t="inlineStr">
        <is>
          <t>3.8.6</t>
        </is>
      </c>
    </row>
    <row r="74" ht="204.45" customHeight="1" s="28">
      <c r="A74" s="62" t="inlineStr">
        <is>
          <t>3.8.7</t>
        </is>
      </c>
      <c r="B74" s="62" t="inlineStr">
        <is>
          <t>MP</t>
        </is>
      </c>
      <c r="C74" s="62" t="inlineStr">
        <is>
          <t>Media Protection</t>
        </is>
      </c>
      <c r="D74" s="62" t="inlineStr">
        <is>
          <t>Control use of removable media on system components</t>
        </is>
      </c>
      <c r="E74" s="62" t="inlineStr">
        <is>
          <t>Control the use of removable media on system components.</t>
        </is>
      </c>
      <c r="F74" s="62" t="inlineStr">
        <is>
          <t>This control is about restricting which removable media can be used on your systems. Can you produce three things: (1) a removable media policy defining which types of removable media — USB drives, external hard drives, SD cards, optical discs — are permitted on systems handling CUI, under what conditions, and by whom, (2) a configuration screenshot dated within the last 30 days showing your systems technically enforce the policy — for example, an endpoint configuration management or MDM setting blocking unauthorized USB storage devices, or an endpoint security rule restricting removable media to approved devices only, AND (3) exception records from the last 90 days for any approved removable media use — showing who used it, what device, on which system, and for what purpose?</t>
        </is>
      </c>
      <c r="G74" s="62" t="n">
        <v>5</v>
      </c>
      <c r="H74" s="62" t="inlineStr">
        <is>
          <t>Common failure: USB ports active on all systems, personal drives used freely with no logging or control. Block unauthorized USB storage via your endpoint configuration management or mobile device management tool. If some USB use is legitimate (encrypted drives for approved backup), create an exception process: specific approved devices registered by serial number, use logged. This control overlaps with AC 3.1.21 (portable storage on external systems) — if that evidence was already collected, it may cross-satisfy portions of this control. Check scope before duplicating. 3.8.8 covers the specific scenario of unowned or unidentified media — treat them as a pair.</t>
        </is>
      </c>
      <c r="I74" s="62" t="n"/>
      <c r="J74" s="62" t="inlineStr">
        <is>
          <t>3.8.7</t>
        </is>
      </c>
    </row>
    <row r="75" ht="217.15" customHeight="1" s="28">
      <c r="A75" s="62" t="inlineStr">
        <is>
          <t>3.8.8</t>
        </is>
      </c>
      <c r="B75" s="62" t="inlineStr">
        <is>
          <t>MP</t>
        </is>
      </c>
      <c r="C75" s="62" t="inlineStr">
        <is>
          <t>Media Protection</t>
        </is>
      </c>
      <c r="D75" s="62" t="inlineStr">
        <is>
          <t>Prohibit the use of portable storage without identifiable owner</t>
        </is>
      </c>
      <c r="E75" s="62" t="inlineStr">
        <is>
          <t>Prohibit the use of portable storage devices when such devices have no identifiable owner.</t>
        </is>
      </c>
      <c r="F75" s="62" t="inlineStr">
        <is>
          <t>This control is about what happens when someone finds or receives an unidentified USB drive or portable storage device. Can you produce three things: (1) a policy explicitly prohibiting the use of any USB drive or portable storage device that does not have a known, registered owner — specifically addressing the scenario where an employee finds a USB drive and wants to plug it in to identify the owner (this is prohibited — the device must be turned in, not plugged in), (2) a technical control configuration dated within the last 30 days showing your systems block unregistered devices — for example, your endpoint security tool or endpoint configuration management policy allows only devices registered by serial number or device ID, AND (3) a registered device inventory from the last 90 days listing approved portable storage devices by owner, serial number, and authorized use?</t>
        </is>
      </c>
      <c r="G75" s="62" t="n">
        <v>3</v>
      </c>
      <c r="H75" s="62" t="inlineStr">
        <is>
          <t>Common failure: employee finds a USB drive in the parking lot or receives one from a vendor and plugs it in to 'see what's on it' — this is the classic USB drop attack, and it works because people are curious and helpful. Your policy must explicitly address this scenario by name: found or unidentified USB drives are turned in to IT, not plugged in. Register all approved portable storage devices by serial number. Any device not on the registered list is automatically blocked by your 3.8.7 technical enforcement. The two controls work together — 3.8.7 controls which media can be used; this control addresses the specific threat of unidentified media.</t>
        </is>
      </c>
      <c r="I75" s="62" t="n"/>
      <c r="J75" s="62" t="inlineStr">
        <is>
          <t>3.8.8</t>
        </is>
      </c>
    </row>
    <row r="76" ht="204.45" customHeight="1" s="28">
      <c r="A76" s="62" t="inlineStr">
        <is>
          <t>3.8.9</t>
        </is>
      </c>
      <c r="B76" s="62" t="inlineStr">
        <is>
          <t>MP</t>
        </is>
      </c>
      <c r="C76" s="62" t="inlineStr">
        <is>
          <t>Media Protection</t>
        </is>
      </c>
      <c r="D76" s="62" t="inlineStr">
        <is>
          <t>Protect the confidentiality of backup CUI</t>
        </is>
      </c>
      <c r="E76" s="62" t="inlineStr">
        <is>
          <t>Protect the confidentiality of backup CUI at storage locations.</t>
        </is>
      </c>
      <c r="F76" s="62" t="inlineStr">
        <is>
          <t>Can you produce three things: (1) a backup protection policy covering both encryption of backup data and access controls on who can reach the backup storage — on-site and off-site or cloud, (2) a backup storage configuration screenshot dated within the last 30 days showing encryption is enabled at rest — from your backup tool's encryption settings, or the encryption status of your NAS or external backup drives, AND (3) access control evidence from the last 90 days showing who has access to backup storage and that it is restricted to authorized personnel — such as permissions settings on your backup storage location or your cloud backup account access log?</t>
        </is>
      </c>
      <c r="G76" s="62" t="n">
        <v>1</v>
      </c>
      <c r="H76" s="62" t="inlineStr">
        <is>
          <t>Common failure: backup drives unencrypted 'because they're backups,' cloud backup configured without customer-held encryption keys, or third-party backup vendor with no written protection requirements in the contract. Backups are a primary target — attackers who compromise your backup can exfiltrate all your CUI without touching live systems. Enable encryption on all backup destinations. For cloud backups, confirm you hold the encryption keys (not just the vendor). Review backup access quarterly and remove any access that is no longer needed. For cloud backups, confirm you hold the encryption keys — if the vendor holds the keys, a compromise or subpoena of the vendor exposes your backup data directly. Ask your provider specifically for 'customer-managed encryption keys' or 'CMK.'</t>
        </is>
      </c>
      <c r="I76" s="62" t="n"/>
      <c r="J76" s="62" t="inlineStr">
        <is>
          <t>3.8.9</t>
        </is>
      </c>
    </row>
    <row r="77" ht="179.1" customHeight="1" s="28">
      <c r="A77" s="62" t="inlineStr">
        <is>
          <t>3.9.1</t>
        </is>
      </c>
      <c r="B77" s="62" t="inlineStr">
        <is>
          <t>PS</t>
        </is>
      </c>
      <c r="C77" s="62" t="inlineStr">
        <is>
          <t>Personnel Security</t>
        </is>
      </c>
      <c r="D77" s="62" t="inlineStr">
        <is>
          <t>Screen individuals prior to authorizing access to CUI</t>
        </is>
      </c>
      <c r="E77" s="62" t="inlineStr">
        <is>
          <t>Screen individuals prior to authorizing access to organizational systems containing CUI.</t>
        </is>
      </c>
      <c r="F77" s="62" t="inlineStr">
        <is>
          <t>Can you produce three things: (1) a screening policy stating that all individuals — including employees, contractors, and MSP staff — must be screened before being granted access to systems containing CUI, defining what type of screening is required (such as a background check, reference check, or specific federal screening), (2) screening records for each individual who currently has CUI access — showing what screening was performed, when, and the outcome, AND (3) a screening procedure or SOP describing who initiates the screening, who reviews results, and who approves access before it is granted?</t>
        </is>
      </c>
      <c r="G77" s="62" t="n">
        <v>3</v>
      </c>
      <c r="H77" s="62" t="inlineStr">
        <is>
          <t>Common failure: employees onboarded with CUI access before screening is complete, or contractor and MSP staff given access without documented screening. Personnel includes everyone with CUI access — your MSP technicians, consultants, and temp staff are in scope. The screening type is flexible — a background check or professional reference check satisfies this for most non-cleared contractors. Document the outcome, not just that screening occurred. For MSP or contractor personnel, a written attestation from the MSP or employer covering their screening practices is acceptable — you do not need to conduct the screening yourself, but retain the attestation and confirm it is current.</t>
        </is>
      </c>
      <c r="I77" s="62" t="n"/>
      <c r="J77" s="62" t="inlineStr">
        <is>
          <t>3.9.1</t>
        </is>
      </c>
    </row>
    <row r="78" ht="179.1" customHeight="1" s="28">
      <c r="A78" s="62" t="inlineStr">
        <is>
          <t>3.9.2</t>
        </is>
      </c>
      <c r="B78" s="62" t="inlineStr">
        <is>
          <t>PS</t>
        </is>
      </c>
      <c r="C78" s="62" t="inlineStr">
        <is>
          <t>Personnel Security</t>
        </is>
      </c>
      <c r="D78" s="62" t="inlineStr">
        <is>
          <t>Protect CUI during and after personnel actions</t>
        </is>
      </c>
      <c r="E78" s="62" t="inlineStr">
        <is>
          <t>Ensure that CUI and systems containing CUI are protected during and after personnel actions such as terminations and transfers.</t>
        </is>
      </c>
      <c r="F78" s="62" t="inlineStr">
        <is>
          <t>Can you produce three things: (1) a personnel action policy covering what must happen when an employee or contractor leaves, changes roles, or goes on extended leave — including access revocation, equipment return, and credential changes for any shared accounts, (2) an offboarding checklist or SOP listing every step required to remove CUI access at departure — disabling accounts, retrieving devices and media, revoking physical access, and changing any credentials the person knew, AND (3) records from the last 90 days showing the checklist was followed for recent departures — with a completion date and the name of who completed each step?</t>
        </is>
      </c>
      <c r="G78" s="62" t="n">
        <v>5</v>
      </c>
      <c r="H78" s="62" t="inlineStr">
        <is>
          <t>Common failure: former employees retain access for days or weeks, laptops not returned, shared credentials not changed. Access revocation must happen on the last day, not at the end of the week. If you already collected evidence for AC 3.1.1 (disable accounts) or IA 3.5.5 (identifier management), that evidence may cross-satisfy portions of this control — check scope before duplicating.</t>
        </is>
      </c>
      <c r="I78" s="62" t="n"/>
      <c r="J78" s="62" t="inlineStr">
        <is>
          <t>3.9.2</t>
        </is>
      </c>
    </row>
    <row r="79" ht="217.15" customHeight="1" s="28">
      <c r="A79" s="62" t="inlineStr">
        <is>
          <t>3.10.1</t>
        </is>
      </c>
      <c r="B79" s="62" t="inlineStr">
        <is>
          <t>PE</t>
        </is>
      </c>
      <c r="C79" s="62" t="inlineStr">
        <is>
          <t>Physical Protection</t>
        </is>
      </c>
      <c r="D79" s="62" t="inlineStr">
        <is>
          <t>Limit physical access to systems and CUI environments</t>
        </is>
      </c>
      <c r="E79" s="62" t="inlineStr">
        <is>
          <t>Limit physical access to organizational systems, equipment, and the respective operating environments to authorized individuals.</t>
        </is>
      </c>
      <c r="F79" s="62" t="inlineStr">
        <is>
          <t>This control is about controlling who can physically enter areas where CUI systems are located. Can you produce three things: (1) a physical access policy defining which areas require controlled access — such as the server room or office containing CUI workstations — and who is authorized to enter each, (2) physical access control evidence from the last 90 days showing your controls are active — such as a description or photo of the locking mechanism (keyed lock, badge reader, keypad) and an access log for that area, AND (3) a current list of individuals authorized for physical access to each controlled area, reviewed within the last 90 days Confirm the access mechanism is physical or electronic (keyed lock, badge reader, keypad, biometric) — policy-only or trust-based controls (e.g., 'we ask people to knock') do not satisfy this requirement?</t>
        </is>
      </c>
      <c r="G79" s="62" t="n">
        <v>5</v>
      </c>
      <c r="H79" s="62" t="inlineStr">
        <is>
          <t>Common failure: server room with no lock, office accessible to anyone with a building key, CUI workstations in common areas. A locked office with a key log is valid physical access control for a small contractor — proportional evidence is acceptable. This control covers who can enter. 3.10.2 covers monitoring of those areas — treat them as a pair.</t>
        </is>
      </c>
      <c r="I79" s="62" t="n"/>
      <c r="J79" s="62" t="inlineStr">
        <is>
          <t>3.10.1</t>
        </is>
      </c>
    </row>
    <row r="80" ht="204.45" customHeight="1" s="28">
      <c r="A80" s="62" t="inlineStr">
        <is>
          <t>3.10.2</t>
        </is>
      </c>
      <c r="B80" s="62" t="inlineStr">
        <is>
          <t>PE</t>
        </is>
      </c>
      <c r="C80" s="62" t="inlineStr">
        <is>
          <t>Physical Protection</t>
        </is>
      </c>
      <c r="D80" s="62" t="inlineStr">
        <is>
          <t>Protect and monitor the physical facility and support infrastructure</t>
        </is>
      </c>
      <c r="E80" s="62" t="inlineStr">
        <is>
          <t>Protect and monitor the physical facility and support infrastructure for organizational systems.</t>
        </is>
      </c>
      <c r="F80" s="62" t="inlineStr">
        <is>
          <t>This control is about monitoring the areas where CUI systems are located. Can you produce three things: (1) a monitoring policy defining how your CUI areas are monitored — including what monitoring is in place (cameras, alarms, periodic inspection) and how often it is reviewed, (2) monitoring evidence from the last 90 days showing your capability is active — such as a camera system screenshot, alarm test record, or a dated inspection log, AND (3) documentation from the last 90 days confirming that physical support infrastructure serving CUI systems — power supply, network cabling, cooling — is protected from unauthorized access or disruption (for small offices, a brief note confirming server and network equipment is behind the same physical access controls as the CUI area is sufficient)?</t>
        </is>
      </c>
      <c r="G80" s="62" t="n">
        <v>5</v>
      </c>
      <c r="H80" s="62" t="inlineStr">
        <is>
          <t>Common failure: physical access controls exist but no monitoring — a locked door with no camera or alarm provides access control but not detection. A basic alarm system, a camera at the server room door, or a weekly inspection with a dated log all satisfy this control. 3.10.1 controls who enters. This control monitors those areas — treat them as a pair. For small offices without dedicated server infrastructure, documentation can be brief — a note confirming that any server or network equipment is behind the same physical access controls as the CUI area, and that power and internet are reasonably protected from obvious tampering, is sufficient.</t>
        </is>
      </c>
      <c r="I80" s="62" t="n"/>
      <c r="J80" s="62" t="inlineStr">
        <is>
          <t>3.10.2</t>
        </is>
      </c>
    </row>
    <row r="81" ht="115.65" customHeight="1" s="28">
      <c r="A81" s="62" t="inlineStr">
        <is>
          <t>3.10.3</t>
        </is>
      </c>
      <c r="B81" s="62" t="inlineStr">
        <is>
          <t>PE</t>
        </is>
      </c>
      <c r="C81" s="62" t="inlineStr">
        <is>
          <t>Physical Protection</t>
        </is>
      </c>
      <c r="D81" s="62" t="inlineStr">
        <is>
          <t>Escort visitors and monitor visitor activity</t>
        </is>
      </c>
      <c r="E81" s="62" t="inlineStr">
        <is>
          <t>Escort visitors and monitor visitor activity in facilities containing CUI or systems processing CUI.</t>
        </is>
      </c>
      <c r="F81" s="62" t="inlineStr">
        <is>
          <t>Can you produce three things: (1) a visitor policy requiring all visitors to CUI areas to be escorted by an authorized employee at all times and not left alone near CUI workstations, storage, or servers, (2) visitor logs from the last 90 days showing each visit — visitor name, purpose, date, time in and out, and the escorting employee, AND (3) a visitor identification or badging SOP describing how visitors are identified, logged, and escorted when they arrive?</t>
        </is>
      </c>
      <c r="G81" s="62" t="n">
        <v>1</v>
      </c>
      <c r="H81" s="62" t="inlineStr">
        <is>
          <t>Common failure: visitors unescorted in CUI areas, no log because 'everyone knows everyone.' Familiarity is not a substitute for a log. A paper sign-in sheet satisfies the log requirement. The escort requirement applies even to trusted visitors — vendors, auditors, building maintenance — unless formally authorized through 3.10.1.</t>
        </is>
      </c>
      <c r="I81" s="62" t="n"/>
      <c r="J81" s="62" t="inlineStr">
        <is>
          <t>3.10.3</t>
        </is>
      </c>
    </row>
    <row r="82" ht="141" customHeight="1" s="28">
      <c r="A82" s="62" t="inlineStr">
        <is>
          <t>3.10.4</t>
        </is>
      </c>
      <c r="B82" s="62" t="inlineStr">
        <is>
          <t>PE</t>
        </is>
      </c>
      <c r="C82" s="62" t="inlineStr">
        <is>
          <t>Physical Protection</t>
        </is>
      </c>
      <c r="D82" s="62" t="inlineStr">
        <is>
          <t>Maintain audit logs of physical access</t>
        </is>
      </c>
      <c r="E82" s="62" t="inlineStr">
        <is>
          <t>Maintain audit logs of physical access.</t>
        </is>
      </c>
      <c r="F82" s="62" t="inlineStr">
        <is>
          <t>Can you produce three things: (1) a physical access log policy defining what must be recorded when someone enters a controlled area — at minimum: date, time, name, and purpose — and how long logs must be retained, (2) physical access logs covering the last 90 days for each controlled area, AND (3) evidence that the logs are reviewed periodically — such as a dated note showing someone checked the log within the last 90 days?</t>
        </is>
      </c>
      <c r="G82" s="62" t="n">
        <v>1</v>
      </c>
      <c r="H82" s="62" t="inlineStr">
        <is>
          <t>Common failure: no log, or a log covering badge access but not key-based entry to the same area. These are physical access logs — records of who physically entered a controlled area and when. They are distinct from the IT audit logs in AU 3.3.x, which record system events like user logins, file access, and privilege changes. Different scope, different artifact, don't conflate them. A paper sign-in sheet or badge system export both satisfy this. A monthly review with a dated initialing satisfies the review requirement.</t>
        </is>
      </c>
      <c r="I82" s="62" t="n"/>
      <c r="J82" s="62" t="inlineStr">
        <is>
          <t>3.10.4</t>
        </is>
      </c>
    </row>
    <row r="83" ht="128.35" customHeight="1" s="28">
      <c r="A83" s="62" t="inlineStr">
        <is>
          <t>3.10.5</t>
        </is>
      </c>
      <c r="B83" s="62" t="inlineStr">
        <is>
          <t>PE</t>
        </is>
      </c>
      <c r="C83" s="62" t="inlineStr">
        <is>
          <t>Physical Protection</t>
        </is>
      </c>
      <c r="D83" s="62" t="inlineStr">
        <is>
          <t>Control and manage physical access devices</t>
        </is>
      </c>
      <c r="E83" s="62" t="inlineStr">
        <is>
          <t>Control and manage physical access devices, such as keys, locks, combinations, and card readers.</t>
        </is>
      </c>
      <c r="F83" s="62" t="inlineStr">
        <is>
          <t>Can you produce three things: (1) a physical access device policy covering how keys, badges, key fobs, and combinations are issued, tracked, and reclaimed — including what happens when an employee leaves or a device is lost, (2) a current inventory of physical access devices showing who holds each key, badge, or combination, reviewed within the last 90 days, AND (3) an issue and return SOP showing the process for handing out access devices to new personnel and reclaiming them at departure?</t>
        </is>
      </c>
      <c r="G83" s="62" t="n">
        <v>1</v>
      </c>
      <c r="H83" s="62" t="inlineStr">
        <is>
          <t>Common failure: keys given out with no tracking, former employees retain keys after departure, combinations never changed after turnover. Maintain a spreadsheet: device type, identifier, current holder, issue date. When a combination-holding employee departs, change the combination before their last day and document the change date.</t>
        </is>
      </c>
      <c r="I83" s="62" t="n"/>
      <c r="J83" s="62" t="inlineStr">
        <is>
          <t>3.10.5</t>
        </is>
      </c>
    </row>
    <row r="84" ht="179.1" customHeight="1" s="28">
      <c r="A84" s="62" t="inlineStr">
        <is>
          <t>3.10.6</t>
        </is>
      </c>
      <c r="B84" s="62" t="inlineStr">
        <is>
          <t>PE</t>
        </is>
      </c>
      <c r="C84" s="62" t="inlineStr">
        <is>
          <t>Physical Protection</t>
        </is>
      </c>
      <c r="D84" s="62" t="inlineStr">
        <is>
          <t>Enforce safeguarding measures at alternate work sites</t>
        </is>
      </c>
      <c r="E84" s="62" t="inlineStr">
        <is>
          <t>Enforce safeguarding measures for CUI at alternate work sites.</t>
        </is>
      </c>
      <c r="F84" s="62" t="inlineStr">
        <is>
          <t>Can you produce three things: (1) a remote work policy defining physical security requirements for employees who access CUI from home or other locations — such as using a dedicated work area, securing devices when not in use, using a privacy screen in shared spaces, and ensuring family members cannot access work devices or screens, (2) documentation of safeguarding controls for your remote workers — such as a home office security checklist completed by each remote employee, AND (3) acknowledgment records showing remote employees have read, understood, and agreed to the alternate work site requirements, with names and dates?</t>
        </is>
      </c>
      <c r="G84" s="62" t="n">
        <v>1</v>
      </c>
      <c r="H84" s="62" t="inlineStr">
        <is>
          <t>Common failure: remote workers with no documented home office requirements, laptops used in coffee shops, family members accessing work devices. For remote-first contractors this control becomes the primary physical protection evidence — treat it with the same rigor as 3.10.1. Minimum requirements: locked room or screen privacy during CUI work, device stored securely when not in use, no family access to work devices. Annual acknowledgment from each remote employee is sufficient evidence.</t>
        </is>
      </c>
      <c r="I84" s="62" t="n"/>
      <c r="J84" s="62" t="inlineStr">
        <is>
          <t>3.10.6</t>
        </is>
      </c>
    </row>
    <row r="85" ht="179.1" customHeight="1" s="28">
      <c r="A85" s="62" t="inlineStr">
        <is>
          <t>3.11.1</t>
        </is>
      </c>
      <c r="B85" s="62" t="inlineStr">
        <is>
          <t>RA</t>
        </is>
      </c>
      <c r="C85" s="62" t="inlineStr">
        <is>
          <t>Risk Assessment</t>
        </is>
      </c>
      <c r="D85" s="62" t="inlineStr">
        <is>
          <t>Periodically assess risk to operations, assets, and individuals</t>
        </is>
      </c>
      <c r="E85" s="62" t="inlineStr">
        <is>
          <t>Periodically assess the risk to organizational operations (including mission, functions, image, or reputation), organizational assets, and individuals, resulting from the operation of organizational systems and the associated processing, storage, or transmission of CUI.</t>
        </is>
      </c>
      <c r="F85" s="62" t="inlineStr">
        <is>
          <t>Can you produce three things: (1) a risk assessment policy or procedure defining how often your organization formally assesses its security risks, who is responsible, and what scope it covers, (2) a completed risk assessment from within the last year — a structured 2-3 page summary is sufficient for a small organization — identifying your key threats, vulnerabilities, and the likelihood and impact of potential security incidents affecting your CUI environment, AND (3) evidence that the assessment results were reviewed by leadership and used to inform security decisions — such as a sign-off, meeting notes, or a summary showing findings were reviewed and acted upon?</t>
        </is>
      </c>
      <c r="G85" s="62" t="n">
        <v>3</v>
      </c>
      <c r="H85" s="62" t="inlineStr">
        <is>
          <t>Common failure: no formal risk assessment ever conducted, or one done years ago and never revisited. A risk assessment does not need to be a 200-page document — a structured 2–3 page summary covering your top threats (ransomware, phishing, insider threat, physical theft), your key vulnerabilities, and what you are doing about each is sufficient. Conduct annually at minimum, or whenever your environment changes significantly (new system, new contract, new staff). This assessment is the foundation for 3.11.2 (what to scan) and 3.11.3 (what to fix).</t>
        </is>
      </c>
      <c r="I85" s="62" t="n"/>
      <c r="J85" s="62" t="inlineStr">
        <is>
          <t>3.11.1</t>
        </is>
      </c>
    </row>
    <row r="86" ht="344" customHeight="1" s="28">
      <c r="A86" s="62" t="inlineStr">
        <is>
          <t>3.11.2</t>
        </is>
      </c>
      <c r="B86" s="62" t="inlineStr">
        <is>
          <t>RA</t>
        </is>
      </c>
      <c r="C86" s="62" t="inlineStr">
        <is>
          <t>Risk Assessment</t>
        </is>
      </c>
      <c r="D86" s="62" t="inlineStr">
        <is>
          <t>Scan for vulnerabilities in systems periodically and when new vulnerabilities are identified</t>
        </is>
      </c>
      <c r="E86" s="62" t="inlineStr">
        <is>
          <t>Scan for vulnerabilities in organizational systems and applications periodically and when new vulnerabilities affecting those systems and applications are identified.</t>
        </is>
      </c>
      <c r="F86" s="62" t="inlineStr">
        <is>
          <t>Can you produce three things: (1) a vulnerability scanning policy defining how often your systems are scanned, which systems are in scope, and what tool or process is used, (2) a vulnerability scan result from within the last 30 days showing your scanning tool ran against your CUI systems and produced a list of findings, AND (3) a configuration screenshot dated within the last 30 days showing your scanning tool is active, up to date, and configured to cover the right systems?</t>
        </is>
      </c>
      <c r="G86" s="62" t="n">
        <v>5</v>
      </c>
      <c r="H86" s="62" t="inlineStr">
        <is>
          <t>Common failure: no scanning at all, scanning only servers but not workstations, or scanning once a year and calling it done. Monthly scanning is the minimum viable cadence. Scan after any significant change (new system, major update, new software). This control produces the findings that 3.11.3 requires you to remediate. Check whether your existing endpoint security or cloud platform subscription already includes a vulnerability-management capability before acquiring a separate scanner — many do at higher tiers. Free-tier scanner licensing terms change frequently and may impose IP-count caps, evaluation periods, or loss of scan history after expiry; verify current terms directly with any tool you rely on. Whichever scanner you use, it must retain persistent scan history to serve as evidence.</t>
        </is>
      </c>
      <c r="I86" s="62" t="n"/>
      <c r="J86" s="62" t="inlineStr">
        <is>
          <t>3.11.2</t>
        </is>
      </c>
    </row>
    <row r="87" ht="293.25" customHeight="1" s="28">
      <c r="A87" s="62" t="inlineStr">
        <is>
          <t>3.11.3</t>
        </is>
      </c>
      <c r="B87" s="62" t="inlineStr">
        <is>
          <t>RA</t>
        </is>
      </c>
      <c r="C87" s="62" t="inlineStr">
        <is>
          <t>Risk Assessment</t>
        </is>
      </c>
      <c r="D87" s="62" t="inlineStr">
        <is>
          <t>Remediate vulnerabilities in accordance with risk assessments</t>
        </is>
      </c>
      <c r="E87" s="62" t="inlineStr">
        <is>
          <t>Remediate vulnerabilities in accordance with risk assessments.</t>
        </is>
      </c>
      <c r="F87" s="62" t="inlineStr">
        <is>
          <t>Can you produce three things: (1) a remediation policy or procedure defining timelines for addressing vulnerabilities based on their severity — for example, Critical vulnerabilities addressed within 15 days, High within 30 days, Medium within 90 days (your policy sets the timelines; NIST does not mandate specific numbers), (2) remediation records from the last 90 days showing which vulnerabilities were found by your 3.11.2 scans, when they were addressed, and how, AND (3) a follow-up scan or verification record showing that remediated vulnerabilities are confirmed resolved and no longer present?</t>
        </is>
      </c>
      <c r="G87" s="62" t="n">
        <v>1</v>
      </c>
      <c r="H87" s="62" t="inlineStr">
        <is>
          <t>Common failure: vulnerabilities found by scanning but never tracked or remediated, or remediated but never re-scanned to confirm. The timeline thresholds are organization-defined — document your chosen thresholds in your remediation policy before auditors ask. Common standard: 15/30/90 days for Critical/High/Medium, but any documented and followed timeline satisfies the control. Anchoring your patch cycle to your vendors' regular release cadence is a reasonable baseline. For CMMC Level 2 (currently Rev 2), remediation timelines are organization-defined. Industry practice: 15-30 days Critical, 30-60 days High, 90 days Medium. Note: NIST 800-171 Rev 3 (published May 2024) introduces DoD-defined ODP thresholds at 30/90/180 days for Critical/High/Medium-Low — aligning to those values now reduces rework if CMMC transitions to Rev 3. C3PAO assessors will evaluate whether your chosen timelines are appropriate given the risk of each severity level. Document your rationale in the SSP.</t>
        </is>
      </c>
      <c r="I87" s="62" t="n"/>
      <c r="J87" s="62" t="inlineStr">
        <is>
          <t>3.11.3</t>
        </is>
      </c>
    </row>
    <row r="88" ht="217.15" customHeight="1" s="28">
      <c r="A88" s="62" t="inlineStr">
        <is>
          <t>3.12.1</t>
        </is>
      </c>
      <c r="B88" s="62" t="inlineStr">
        <is>
          <t>CA</t>
        </is>
      </c>
      <c r="C88" s="62" t="inlineStr">
        <is>
          <t>Security Assessment</t>
        </is>
      </c>
      <c r="D88" s="62" t="inlineStr">
        <is>
          <t>Periodically assess security controls to determine effectiveness</t>
        </is>
      </c>
      <c r="E88" s="62" t="inlineStr">
        <is>
          <t>Periodically assess the security controls in organizational systems to determine if the controls are effective in their application.</t>
        </is>
      </c>
      <c r="F88" s="62" t="inlineStr">
        <is>
          <t>This control is about testing whether your security controls actually work. Can you produce three things: (1) a security assessment policy or procedure defining how often your controls are formally assessed, who conducts the assessment, and what scope it covers — this is distinct from the risk assessment in 3.11.1, which identifies threats; this control asks whether your implemented controls are working as intended, (2) a completed assessment from within the last year showing which controls were evaluated, how they were tested, and whether they were found effective — such as an internal control review, a third-party assessment, or a structured self-assessment against your SSP, AND (3) evidence that assessment findings were reviewed by a responsible party and findings were captured for remediation?</t>
        </is>
      </c>
      <c r="G88" s="62" t="n">
        <v>5</v>
      </c>
      <c r="H88" s="62" t="inlineStr">
        <is>
          <t>Common failure: no assessment ever conducted beyond the initial implementation, or assessments that only check whether a control exists rather than whether it works. A self-assessment structured against your SSP satisfies this — you do not need a third-party assessor for this control (though an independent eye adds value). Findings from this assessment become the input to 3.12.2 (POA&amp;M) — treat them as a pair.</t>
        </is>
      </c>
      <c r="I88" s="62" t="n"/>
      <c r="J88" s="62" t="inlineStr">
        <is>
          <t>3.12.1</t>
        </is>
      </c>
    </row>
    <row r="89" ht="305.95" customHeight="1" s="28">
      <c r="A89" s="62" t="inlineStr">
        <is>
          <t>3.12.2</t>
        </is>
      </c>
      <c r="B89" s="62" t="inlineStr">
        <is>
          <t>CA</t>
        </is>
      </c>
      <c r="C89" s="62" t="inlineStr">
        <is>
          <t>Security Assessment</t>
        </is>
      </c>
      <c r="D89" s="62" t="inlineStr">
        <is>
          <t>Develop and implement a POA&amp;M</t>
        </is>
      </c>
      <c r="E89" s="62" t="inlineStr">
        <is>
          <t>Develop and implement plans of action designed to correct deficiencies and reduce or eliminate vulnerabilities in organizational systems.</t>
        </is>
      </c>
      <c r="F89" s="62" t="inlineStr">
        <is>
          <t>This control is about documenting and tracking how you will fix what your assessments found. Can you produce four things: (1) a current Plan of Action and Milestones (POA&amp;M) — a living document listing every known security deficiency or gap, the planned remediation action for each, a responsible owner, a target completion date, and the resources required for remediation (estimated budget, personnel, or tools needed to complete the work), (2) evidence that the POA&amp;M is actively maintained — such as dated updates showing items added from recent assessments and items closed when remediated, (3) a record showing the POA&amp;M was reviewed by leadership within the last 90 days, AND (4) confirmation that any controls currently on your POA&amp;M are weight-1 only — no 3- or 5-point controls listed as deferred remediation items? Important context for CMMC Level 2 readiness: under the CMMC 2.0 Final Rule (32 CFR 170.21, effective November 10, 2025), only controls weighted at 1 point may be placed on a POA&amp;M for Conditional Level 2 certification. Any 3- or 5-point control must be fully implemented at the time of assessment — these cannot be deferred.</t>
        </is>
      </c>
      <c r="G89" s="62" t="n">
        <v>3</v>
      </c>
      <c r="H89" s="62" t="inlineStr">
        <is>
          <t>Common failure: no POA&amp;M at all, or one created for an initial assessment and never updated. The POA&amp;M is one of two documents C3PAOs always request first (alongside the SSP in 3.12.4). A blank or outdated POA&amp;M is an immediate red flag. The format is flexible — a spreadsheet with columns for finding, owner, planned fix, target date, and status satisfies the requirement. It should reflect the current state of your gaps — not just historical findings. Findings from 3.12.1 assessments and 3.11.2 vulnerability scans both feed the POA&amp;M — treat 3.12.1 and 3.12.2 as a pair. Critical operational distinction: a POA&amp;M containing any 3- or 5-point control will disqualify you from Conditional Level 2 status. Review every POA&amp;M item against its DoD Methodology Annex A weight. Common weight-5 controls that must NOT be on a POA&amp;M: 3.5.1, 3.5.2, 3.5.3, 3.3.1, 3.3.5, 3.4.1, 3.11.2, 3.13.1, 3.13.5, 3.14.1, 3.14.2, 3.14.4, 3.14.6, and others. Verify against the official DoD Assessment Methodology.</t>
        </is>
      </c>
      <c r="I89" s="62" t="n"/>
      <c r="J89" s="62" t="inlineStr">
        <is>
          <t>3.12.2</t>
        </is>
      </c>
    </row>
    <row r="90" ht="204.45" customHeight="1" s="28">
      <c r="A90" s="62" t="inlineStr">
        <is>
          <t>3.12.3</t>
        </is>
      </c>
      <c r="B90" s="62" t="inlineStr">
        <is>
          <t>CA</t>
        </is>
      </c>
      <c r="C90" s="62" t="inlineStr">
        <is>
          <t>Security Assessment</t>
        </is>
      </c>
      <c r="D90" s="62" t="inlineStr">
        <is>
          <t>Monitor security controls on an ongoing basis</t>
        </is>
      </c>
      <c r="E90" s="62" t="inlineStr">
        <is>
          <t>Monitor security controls on an ongoing basis to ensure the continued effectiveness of the controls.</t>
        </is>
      </c>
      <c r="F90" s="62" t="inlineStr">
        <is>
          <t>Can you produce three things: (1) a continuous monitoring policy or plan defining which controls are monitored on an ongoing basis, how often, by whom, and what triggers an out-of-cycle review — note: this is about monitoring whether controls remain effective over time, not just whether security events are logged, (2) monitoring records from the last 90 days showing specific controls were reviewed for continued effectiveness — such as a quarterly access review confirming MFA is still enforced, a log review confirming audit logging is still capturing required events, or a configuration check confirming baseline settings have not drifted, AND (3) evidence that monitoring findings were acted upon — for example, a record showing a control drift was detected and corrected?</t>
        </is>
      </c>
      <c r="G90" s="62" t="n">
        <v>5</v>
      </c>
      <c r="H90" s="62" t="inlineStr">
        <is>
          <t>Common failure: 'we check our SIEM regularly' — this misunderstands the control. Continuous monitoring is about periodically verifying that controls remain effective, not just that security events are logged. For example: quarterly confirmation that MFA is still enforced on all accounts (not just when it was configured), monthly check that your patch policy is being followed (not just that a policy exists), periodic baseline comparison showing system configs have not drifted. A structured monthly or quarterly control-effectiveness checklist satisfies this — the key is controls reviewed, not events logged.</t>
        </is>
      </c>
      <c r="I90" s="62" t="n"/>
      <c r="J90" s="62" t="inlineStr">
        <is>
          <t>3.12.3</t>
        </is>
      </c>
    </row>
    <row r="91" ht="331.3" customHeight="1" s="28">
      <c r="A91" s="62" t="inlineStr">
        <is>
          <t>3.12.4</t>
        </is>
      </c>
      <c r="B91" s="62" t="inlineStr">
        <is>
          <t>CA</t>
        </is>
      </c>
      <c r="C91" s="62" t="inlineStr">
        <is>
          <t>Security Assessment</t>
        </is>
      </c>
      <c r="D91" s="62" t="inlineStr">
        <is>
          <t>Develop, document, and periodically update a System Security Plan</t>
        </is>
      </c>
      <c r="E91" s="62" t="inlineStr">
        <is>
          <t>Develop, document, and periodically update system security plans that describe system boundaries, system environments of operation, how security requirements are implemented, and the relationships with or connections to other systems.</t>
        </is>
      </c>
      <c r="F91" s="62" t="inlineStr">
        <is>
          <t>Can you produce three things: (1) a System Security Plan (SSP) describing your CUI environment — including what systems are in scope, what your network looks like, how each of the 110 NIST 800-171 controls is implemented or planned, and how your system connects to external systems and the internet (the SSP is the document C3PAOs review first at audit — it maps your entire security posture), (2) evidence the SSP was reviewed and updated within the last year — including a dated revision history showing the most recent review and any changes made, AND (3) evidence the SSP has been approved by a responsible organizational official — such as a signed approval page or dated authorization memo?</t>
        </is>
      </c>
      <c r="G91" s="62" t="inlineStr">
        <is>
          <t>NA — Gate Control</t>
        </is>
      </c>
      <c r="H91" s="62" t="inlineStr">
        <is>
          <t>Common failure: no SSP at all, an SSP that covers only some controls, or one created at contract award and never updated. The SSP is the most important single document in your CMMC compliance posture — C3PAOs request it immediately at audit alongside the POA&amp;M (3.12.2). A gap between your SSP claims and your actual evidence is the primary finding pattern at CMMC Level 2 assessments. Converting this tool's gap report into a compliant SSP is non-trivial for most small organizations. NIST SP 800-171A assessment procedures for 3.12.4 focus on whether the SSP accurately reflects the actual implementation state of each control — not just a template populated with optimistic language. If you don't have internal capacity to develop or maintain your SSP at this standard, the right answer is to engage either a qualified vCISO or a CMMC Registered Practitioner Organization (RPO). The Cyber-AB marketplace at cyberab.org/marketplace lists certified RPOs by region and specialty; for vCISO services, look for practitioners with active CMMC RP certification and demonstrated NIST 800-171 implementation experience with contractors at your size and CUI exposure. Either way, update your SSP annually and whenever your system boundary changes significantly.</t>
        </is>
      </c>
      <c r="I91" s="62" t="n"/>
      <c r="J91" s="62" t="inlineStr">
        <is>
          <t>3.12.4</t>
        </is>
      </c>
    </row>
    <row r="92" ht="204.45" customHeight="1" s="28">
      <c r="A92" s="62" t="inlineStr">
        <is>
          <t>3.13.1</t>
        </is>
      </c>
      <c r="B92" s="62" t="inlineStr">
        <is>
          <t>SC</t>
        </is>
      </c>
      <c r="C92" s="62" t="inlineStr">
        <is>
          <t>System &amp; Communications Protection</t>
        </is>
      </c>
      <c r="D92" s="62" t="inlineStr">
        <is>
          <t>Monitor, control, and protect communications at system boundaries</t>
        </is>
      </c>
      <c r="E92" s="62" t="inlineStr">
        <is>
          <t>Monitor, control, and protect communications (i.e., information transmitted or received by organizational systems) at the external boundaries and key internal boundaries of organizational systems.</t>
        </is>
      </c>
      <c r="F92" s="62" t="inlineStr">
        <is>
          <t>This control is about controlling what traffic enters and leaves your network. Can you produce three things: (1) a firewall or boundary protection policy defining what types of network traffic are permitted into and out of your environment, who is responsible for managing the boundary, and how often rules are reviewed, (2) a firewall configuration screenshot or ruleset export dated within the last 30 days showing the rules currently enforced at your network boundary — such as your router or firewall admin panel showing inbound and outbound rules, AND (3) boundary protection evidence from the last 30 days confirming the controls are active — such as a firewall log showing traffic is being inspected and filtered, or a security dashboard showing your boundary protection is operational?</t>
        </is>
      </c>
      <c r="G92" s="62" t="n">
        <v>5</v>
      </c>
      <c r="H92" s="62" t="inlineStr">
        <is>
          <t>Common failure: firewall exists but rules were set at installation and never reviewed, or the boundary is protected but there is no evidence it is actively filtering traffic. Review firewall rules at least quarterly — remove any rule that cannot be traced to a current business requirement. This control protects the perimeter of your network. 3.13.5 covers segmentation within that perimeter — treat them as a pair.</t>
        </is>
      </c>
      <c r="I92" s="62" t="n"/>
      <c r="J92" s="62" t="inlineStr">
        <is>
          <t>3.13.1</t>
        </is>
      </c>
    </row>
    <row r="93" ht="179.1" customHeight="1" s="28">
      <c r="A93" s="62" t="inlineStr">
        <is>
          <t>3.13.2</t>
        </is>
      </c>
      <c r="B93" s="62" t="inlineStr">
        <is>
          <t>SC</t>
        </is>
      </c>
      <c r="C93" s="62" t="inlineStr">
        <is>
          <t>System &amp; Communications Protection</t>
        </is>
      </c>
      <c r="D93" s="62" t="inlineStr">
        <is>
          <t>Employ architectural designs, software development techniques, and systems engineering principles promoting security</t>
        </is>
      </c>
      <c r="E93" s="62" t="inlineStr">
        <is>
          <t>Employ architectural designs, software development techniques, and systems engineering principles that promote information security within organizational systems.</t>
        </is>
      </c>
      <c r="F93" s="62" t="inlineStr">
        <is>
          <t>Can you produce three things: (1) architecture documentation describing how your CUI environment is designed with security in mind — including a network diagram, a description of how systems are separated, and how CUI data flows through your environment, (2) evidence that security was considered during any significant system changes in the last year — such as a design review record, a security checklist completed before a new system was added, or a documented architectural decision that prioritized security, AND (3) evidence that your architecture is reviewed periodically — such as a dated record showing someone reviewed your network diagram and confirmed it remains accurate?</t>
        </is>
      </c>
      <c r="G93" s="62" t="n">
        <v>5</v>
      </c>
      <c r="H93" s="62" t="inlineStr">
        <is>
          <t>Common failure: no documented architecture at all, or an architecture diagram created once and never updated. A sketch — hand-drawn on paper or made in any diagramming tool — showing your key systems, how they connect, and where CUI lives satisfies this. Review and update when systems change. Security-in-design evidence can be as simple as a checklist question in your change management process: 'does this change affect how CUI is protected?' — consistent with CM 3.4.4.</t>
        </is>
      </c>
      <c r="I93" s="62" t="n"/>
      <c r="J93" s="62" t="inlineStr">
        <is>
          <t>3.13.2</t>
        </is>
      </c>
    </row>
    <row r="94" ht="179.1" customHeight="1" s="28">
      <c r="A94" s="62" t="inlineStr">
        <is>
          <t>3.13.3</t>
        </is>
      </c>
      <c r="B94" s="62" t="inlineStr">
        <is>
          <t>SC</t>
        </is>
      </c>
      <c r="C94" s="62" t="inlineStr">
        <is>
          <t>System &amp; Communications Protection</t>
        </is>
      </c>
      <c r="D94" s="62" t="inlineStr">
        <is>
          <t>Separate user functionality from system management functionality</t>
        </is>
      </c>
      <c r="E94" s="62" t="inlineStr">
        <is>
          <t>Separate user functionality (including user interface services) from system management functionality.</t>
        </is>
      </c>
      <c r="F94" s="62" t="inlineStr">
        <is>
          <t>Can you produce three things: (1) a separation policy stating that administrative interfaces and tools are not accessible to standard users — for example, that the admin console for your firewall, domain controller, or cloud management portal is only accessible to designated administrators, (2) a configuration screenshot dated within the last 30 days showing admin management interfaces are technically restricted — such as a Role-Based Access Control configuration showing standard users cannot access admin tools, AND (3) a current list of users with admin interface access, reviewed within the last 90 days, confirming only appropriate personnel have management access?</t>
        </is>
      </c>
      <c r="G94" s="62" t="n">
        <v>1</v>
      </c>
      <c r="H94" s="62" t="inlineStr">
        <is>
          <t>Common failure: standard users can access the same admin consoles as IT staff, or a single interface serves both regular work and system management without role separation. Separate admin access at the identity level: only IT-role accounts should have access to firewall admin, domain controller management, cloud admin portals, and server management tools. This complements AC 3.1.5 (least privilege) — if least-privilege evidence was already collected, check whether it cross-satisfies portions of this control.</t>
        </is>
      </c>
      <c r="I94" s="62" t="n"/>
      <c r="J94" s="62" t="inlineStr">
        <is>
          <t>3.13.3</t>
        </is>
      </c>
    </row>
    <row r="95" ht="204.45" customHeight="1" s="28">
      <c r="A95" s="62" t="inlineStr">
        <is>
          <t>3.13.4</t>
        </is>
      </c>
      <c r="B95" s="62" t="inlineStr">
        <is>
          <t>SC</t>
        </is>
      </c>
      <c r="C95" s="62" t="inlineStr">
        <is>
          <t>System &amp; Communications Protection</t>
        </is>
      </c>
      <c r="D95" s="62" t="inlineStr">
        <is>
          <t>Prevent unauthorized and unintended information transfer via shared system resources</t>
        </is>
      </c>
      <c r="E95" s="62" t="inlineStr">
        <is>
          <t>Prevent unauthorized and unintended information transfer via shared system resources.</t>
        </is>
      </c>
      <c r="F95" s="62" t="inlineStr">
        <is>
          <t>Can you produce three things: (1) a policy addressing how shared system resources — such as shared drives, shared memory, shared printers, and multi-tenant cloud services — are configured to prevent one user's CUI from being accessible to another user who should not see it, (2) a configuration screenshot dated within the last 30 days showing your shared resources enforce access controls that prevent cross-user data exposure — such as your file or collaboration platform's permission settings, or filesystem-level permissions on file shares, showing CUI folders are restricted to authorized users only, AND (3) a record from the last 90 days confirming shared resource permissions were reviewed and remain correctly scoped?</t>
        </is>
      </c>
      <c r="G95" s="62" t="n">
        <v>1</v>
      </c>
      <c r="H95" s="62" t="inlineStr">
        <is>
          <t>Common failure: shared drives or collaboration folders accessible to the entire organization including personnel without CUI access, or a cloud storage folder where CUI lands in a location all employees can read. Audit your file or collaboration platform's folder permissions quarterly, including filesystem-level permissions on traditional file shares. CUI folders should have explicit access lists, not 'Everyone' or 'All Company' permissions. The review evidence can be a dated screenshot of the permission settings.</t>
        </is>
      </c>
      <c r="I95" s="62" t="n"/>
      <c r="J95" s="62" t="inlineStr">
        <is>
          <t>3.13.4</t>
        </is>
      </c>
    </row>
    <row r="96" ht="191.75" customHeight="1" s="28">
      <c r="A96" s="62" t="inlineStr">
        <is>
          <t>3.13.5</t>
        </is>
      </c>
      <c r="B96" s="62" t="inlineStr">
        <is>
          <t>SC</t>
        </is>
      </c>
      <c r="C96" s="62" t="inlineStr">
        <is>
          <t>System &amp; Communications Protection</t>
        </is>
      </c>
      <c r="D96" s="62" t="inlineStr">
        <is>
          <t>Implement subnetworks for publicly accessible system components</t>
        </is>
      </c>
      <c r="E96" s="62" t="inlineStr">
        <is>
          <t>Implement subnetworks for publicly accessible system components that are physically or logically separated from internal networks.</t>
        </is>
      </c>
      <c r="F96" s="62" t="inlineStr">
        <is>
          <t>This control is about separating your public-facing systems from your internal CUI environment. Can you produce three things: (1) a network diagram showing how your environment is segmented — specifically, that any system accessible from the internet (web server, email gateway, public portal) is separated from the internal network where CUI is stored and processed, (2) firewall or routing configuration dated within the last 30 days showing the rules that enforce this separation — for example, that your DMZ or cloud-hosted public systems cannot directly access your internal CUI network, AND (3) evidence the segmentation is tested or verified — such as a network scan result or a firewall rule review confirming the separation holds?</t>
        </is>
      </c>
      <c r="G96" s="62" t="n">
        <v>5</v>
      </c>
      <c r="H96" s="62" t="inlineStr">
        <is>
          <t>Common failure: web servers and file servers on the same flat network with no separation — if the web server is compromised, the attacker can reach CUI directly. If you use cloud hosting for public systems (website, portal), they are naturally separated from your internal network — document this in your network diagram. This control secures the internal architecture. 3.13.1 controls what crosses the outer boundary — treat them as a pair.</t>
        </is>
      </c>
      <c r="I96" s="62" t="n"/>
      <c r="J96" s="62" t="inlineStr">
        <is>
          <t>3.13.5</t>
        </is>
      </c>
    </row>
    <row r="97" ht="191.75" customHeight="1" s="28">
      <c r="A97" s="62" t="inlineStr">
        <is>
          <t>3.13.6</t>
        </is>
      </c>
      <c r="B97" s="62" t="inlineStr">
        <is>
          <t>SC</t>
        </is>
      </c>
      <c r="C97" s="62" t="inlineStr">
        <is>
          <t>System &amp; Communications Protection</t>
        </is>
      </c>
      <c r="D97" s="62" t="inlineStr">
        <is>
          <t>Deny network communications traffic by default</t>
        </is>
      </c>
      <c r="E97" s="62" t="inlineStr">
        <is>
          <t>Deny network communications traffic by default and allow network communications traffic by exception (i.e., deny all, permit by exception).</t>
        </is>
      </c>
      <c r="F97" s="62" t="inlineStr">
        <is>
          <t>Can you produce three things: (1) a network traffic policy stating that your firewall and network devices operate on a deny-by-default basis — all traffic is blocked unless explicitly permitted, not the reverse, (2) a firewall configuration dated within the last 30 days showing your default rule is 'deny all' for both inbound AND outbound traffic (many consumer-grade routers deny inbound by default but permit outbound by default — this does not satisfy the control; both directions must be deny-by-default with explicit allow rules), AND (3) exception records from the last 90 days documenting any traffic rules added to the allow list — showing who requested the exception, the business justification, and who approved it?</t>
        </is>
      </c>
      <c r="G97" s="62" t="n">
        <v>5</v>
      </c>
      <c r="H97" s="62" t="inlineStr">
        <is>
          <t>Common failure: firewall configured with a permissive default ('allow all, block known-bad') rather than a restrictive default ('deny all, allow specific'). Most consumer-grade routers default to permissive outbound — verify your configuration. Deny-by-default is the correct posture: start with nothing permitted, then explicitly allow what your business requires. This applies at the network level. CM 3.4.8 applies the same principle at the software/application level — the approaches are complementary.</t>
        </is>
      </c>
      <c r="I97" s="62" t="n"/>
      <c r="J97" s="62" t="inlineStr">
        <is>
          <t>3.13.6</t>
        </is>
      </c>
    </row>
    <row r="98" ht="166.4" customHeight="1" s="28">
      <c r="A98" s="62" t="inlineStr">
        <is>
          <t>3.13.7</t>
        </is>
      </c>
      <c r="B98" s="62" t="inlineStr">
        <is>
          <t>SC</t>
        </is>
      </c>
      <c r="C98" s="62" t="inlineStr">
        <is>
          <t>System &amp; Communications Protection</t>
        </is>
      </c>
      <c r="D98" s="62" t="inlineStr">
        <is>
          <t>Prevent split tunneling for remote devices</t>
        </is>
      </c>
      <c r="E98" s="62" t="inlineStr">
        <is>
          <t>Prevent remote devices from simultaneously establishing non-remote connections with the system and communicating via some other connection to resources in external networks (i.e., split tunneling).</t>
        </is>
      </c>
      <c r="F98" s="62" t="inlineStr">
        <is>
          <t>Can you produce three things: (1) a remote access policy explicitly prohibiting split tunneling — meaning that when a device is connected to your VPN, all of its traffic must go through the VPN and it cannot simultaneously browse the internet directly, (2) a VPN configuration screenshot dated within the last 30 days showing split tunneling is disabled and full-tunnel mode is enforced — most VPN admin consoles have a specific setting for this, AND (3) a record or test result confirming the VPN enforces full-tunnel mode — for example, a note showing that when connected to the VPN, all traffic routes through the corporate network rather than splitting?</t>
        </is>
      </c>
      <c r="G98" s="62" t="n">
        <v>1</v>
      </c>
      <c r="H98" s="62" t="inlineStr">
        <is>
          <t>Common failure: VPN is deployed but split tunneling is left enabled for performance reasons — users browse the internet directly while only internal traffic goes through the VPN. This creates an attack path: a compromised home router can intercept internet-destined traffic that bypasses corporate security controls. Disable split tunneling in your VPN admin console. Most enterprise-grade VPN solutions have a specific setting for this; consumer-grade VPNs may not support full-tunnel enforcement.</t>
        </is>
      </c>
      <c r="I98" s="62" t="n"/>
      <c r="J98" s="62" t="inlineStr">
        <is>
          <t>3.13.7</t>
        </is>
      </c>
    </row>
    <row r="99" ht="179.1" customHeight="1" s="28">
      <c r="A99" s="62" t="inlineStr">
        <is>
          <t>3.13.8</t>
        </is>
      </c>
      <c r="B99" s="62" t="inlineStr">
        <is>
          <t>SC</t>
        </is>
      </c>
      <c r="C99" s="62" t="inlineStr">
        <is>
          <t>System &amp; Communications Protection</t>
        </is>
      </c>
      <c r="D99" s="62" t="inlineStr">
        <is>
          <t>Implement cryptographic mechanisms to prevent unauthorized disclosure of CUI during transmission</t>
        </is>
      </c>
      <c r="E99" s="62" t="inlineStr">
        <is>
          <t>Implement cryptographic mechanisms to prevent unauthorized disclosure of CUI during transmission unless otherwise protected by alternative physical safeguards.</t>
        </is>
      </c>
      <c r="F99" s="62" t="inlineStr">
        <is>
          <t>Can you produce three things: (1) an encryption-in-transit policy stating that all CUI transmitted across networks — internal or external — must be encrypted using approved protocols (TLS 1.2 or higher, or equivalent), (2) configuration evidence dated within the last 30 days showing encryption is enforced on systems that transmit CUI — such as a web server TLS configuration, an email gateway encryption setting, or a cloud storage transit-encryption configuration, AND (3) evidence from the last 30 days confirming unencrypted transmission of CUI is not occurring — such as a network scan result showing no plaintext protocols (HTTP, FTP, Telnet) active on CUI-transmitting systems?</t>
        </is>
      </c>
      <c r="G99" s="62" t="n">
        <v>3</v>
      </c>
      <c r="H99" s="62" t="inlineStr">
        <is>
          <t>Common failure: HTTPS on the web server but unencrypted email, FTP, or internal file transfers for CUI. This control covers network transmission — different from MP 3.8.6 which covers physical media transport. Audit every path CUI takes across your network: email (use TLS), file sharing (HTTPS or SFTP), cloud sync (HTTPS), internal databases (TLS between app and database). Disable HTTP, FTP, and Telnet on any system that handles CUI.</t>
        </is>
      </c>
      <c r="I99" s="62" t="n"/>
      <c r="J99" s="62" t="inlineStr">
        <is>
          <t>3.13.8</t>
        </is>
      </c>
    </row>
    <row r="100" ht="166.4" customHeight="1" s="28">
      <c r="A100" s="62" t="inlineStr">
        <is>
          <t>3.13.9</t>
        </is>
      </c>
      <c r="B100" s="62" t="inlineStr">
        <is>
          <t>SC</t>
        </is>
      </c>
      <c r="C100" s="62" t="inlineStr">
        <is>
          <t>System &amp; Communications Protection</t>
        </is>
      </c>
      <c r="D100" s="62" t="inlineStr">
        <is>
          <t>Terminate network connections after defined period of inactivity</t>
        </is>
      </c>
      <c r="E100" s="62" t="inlineStr">
        <is>
          <t>Terminate network connections associated with communications sessions after a defined period of inactivity or at the end of the communications session.</t>
        </is>
      </c>
      <c r="F100" s="62" t="inlineStr">
        <is>
          <t>Can you produce three things: (1) a session termination policy defining the inactivity period after which network sessions are automatically terminated (your policy sets the threshold; a common default is 30 minutes for general sessions and 15 minutes for privileged sessions, but NIST does not mandate specific numbers), (2) a configuration screenshot dated within the last 30 days showing session timeout is technically enforced — such as a VPN idle timeout setting, a remote desktop session limit, or a network device session timeout configuration, AND (3) logs from the last 30 days showing sessions are actually being terminated at the defined threshold?</t>
        </is>
      </c>
      <c r="G100" s="62" t="n">
        <v>1</v>
      </c>
      <c r="H100" s="62" t="inlineStr">
        <is>
          <t>Common failure: sessions left open indefinitely because 'disconnecting is inconvenient.' An open idle session is an open door — if an attacker gains access to the endpoint, they inherit the session without re-authenticating. Configure timeout at the VPN, remote desktop, and key application layers. Note the overlap with MA 3.7.5 (MSP maintenance session termination) — if that evidence already covers session termination for maintenance sessions, it may partially cross-satisfy this control for that session type.</t>
        </is>
      </c>
      <c r="I100" s="62" t="n"/>
      <c r="J100" s="62" t="inlineStr">
        <is>
          <t>3.13.9</t>
        </is>
      </c>
    </row>
    <row r="101" ht="191.75" customHeight="1" s="28">
      <c r="A101" s="62" t="inlineStr">
        <is>
          <t>3.13.10</t>
        </is>
      </c>
      <c r="B101" s="62" t="inlineStr">
        <is>
          <t>SC</t>
        </is>
      </c>
      <c r="C101" s="62" t="inlineStr">
        <is>
          <t>System &amp; Communications Protection</t>
        </is>
      </c>
      <c r="D101" s="62" t="inlineStr">
        <is>
          <t>Establish and manage cryptographic keys for cryptography employed in organizational systems</t>
        </is>
      </c>
      <c r="E101" s="62" t="inlineStr">
        <is>
          <t>Establish and manage cryptographic keys when cryptography is employed within organizational systems.</t>
        </is>
      </c>
      <c r="F101" s="62" t="inlineStr">
        <is>
          <t>Can you produce three things: (1) a key management policy defining how cryptographic keys are generated, distributed, stored, rotated, and revoked across your systems — including who is authorized to manage keys and what happens when a key is compromised, (2) a key management procedure or SOP describing the step-by-step process your organization follows for each key lifecycle stage, AND (3) evidence from the last 30 days that keys are being managed per policy — such as a configuration showing key rotation schedules are active, a record of a recent key rotation, or a cloud key management console screenshot showing current key status?</t>
        </is>
      </c>
      <c r="G101" s="62" t="n">
        <v>1</v>
      </c>
      <c r="H101" s="62" t="inlineStr">
        <is>
          <t>Common failure: cryptography is in use but no one has documented who manages the keys or what happens when a key expires or is compromised. For most small contractors, key management is handled by a cloud provider's key management service or by an identity platform's certificate management. Document your reliance on these systems in your policy — you do not need to build a custom key management infrastructure, but you do need to show keys are governed and not left indefinitely without rotation or review.</t>
        </is>
      </c>
      <c r="I101" s="62" t="n"/>
      <c r="J101" s="62" t="inlineStr">
        <is>
          <t>3.13.10</t>
        </is>
      </c>
    </row>
    <row r="102" ht="280.55" customHeight="1" s="28">
      <c r="A102" s="62" t="inlineStr">
        <is>
          <t>3.13.11</t>
        </is>
      </c>
      <c r="B102" s="62" t="inlineStr">
        <is>
          <t>SC</t>
        </is>
      </c>
      <c r="C102" s="62" t="inlineStr">
        <is>
          <t>System &amp; Communications Protection</t>
        </is>
      </c>
      <c r="D102" s="62" t="inlineStr">
        <is>
          <t>Employ FIPS-validated cryptography when used to protect the confidentiality of CUI</t>
        </is>
      </c>
      <c r="E102" s="62" t="inlineStr">
        <is>
          <t>Employ FIPS-validated cryptography when used to protect the confidentiality of CUI.</t>
        </is>
      </c>
      <c r="F102" s="62" t="inlineStr">
        <is>
          <t>Can you produce three things: (1) an inventory of the cryptographic modules and algorithms your organization uses to protect CUI — including the systems and tools that perform encryption (VPN, disk encryption, email encryption, cloud storage encryption), (2) evidence that the cryptographic modules in use are FIPS 140-2 or FIPS 140-3 validated — such as a vendor confirmation letter, a product documentation page citing FIPS validation, or a CMVP certificate number from the NIST Cryptographic Module Validation Program, AND (3) configuration evidence dated within the last 30 days showing FIPS mode is enabled on systems where it is configurable — for example, an operating-system FIPS mode setting applied through your endpoint configuration management tool, or a VPN configuration showing FIPS-compliant cipher suites are selected Note: FIPS validation evidence must be a CMVP certificate number verifiable at csrc.nist.gov/projects/cryptographic-module-validation-program — vendor marketing claims of 'FIPS-compliant' without a CMVP certificate number do NOT satisfy this requirement?</t>
        </is>
      </c>
      <c r="G102" s="62" t="n">
        <v>5</v>
      </c>
      <c r="H102" s="62" t="inlineStr">
        <is>
          <t>FIPS 140-2 certificates moved to Historical status on September 21, 2026 and cannot be specified in new federal procurements after that date. New FIPS 140-2 validation submissions closed March 31, 2022. If your cryptographic modules hold only FIPS 140-2 validation, confirm with your vendor whether a FIPS 140-3 certificate is in process. FIPS 140-3 validation typically takes 24-36+ months from laboratory submission — vendors without an active FIPS 140-3 submission today may not achieve certification any time soon. Verify current certificate status at csrc.nist.gov/projects/cryptographic-module-validation-program before any new tool procurement. Contractors beginning C3PAO assessment planning now should confirm their cryptographic modules will still be on the approved list at their projected assessment date.</t>
        </is>
      </c>
      <c r="I102" s="62" t="n"/>
      <c r="J102" s="62" t="inlineStr">
        <is>
          <t>3.13.11</t>
        </is>
      </c>
    </row>
    <row r="103" ht="179.1" customHeight="1" s="28">
      <c r="A103" s="62" t="inlineStr">
        <is>
          <t>3.13.12</t>
        </is>
      </c>
      <c r="B103" s="62" t="inlineStr">
        <is>
          <t>SC</t>
        </is>
      </c>
      <c r="C103" s="62" t="inlineStr">
        <is>
          <t>System &amp; Communications Protection</t>
        </is>
      </c>
      <c r="D103" s="62" t="inlineStr">
        <is>
          <t>Prohibit remote activation of collaborative computing devices and provide indication of use</t>
        </is>
      </c>
      <c r="E103" s="62" t="inlineStr">
        <is>
          <t>Prohibit remote activation of collaborative computing devices and provide an indication of use to the users present at the devices.</t>
        </is>
      </c>
      <c r="F103" s="62" t="inlineStr">
        <is>
          <t>Can you produce two things: (1) a policy prohibiting the remote activation of cameras, microphones, and collaboration tools — such as webcams, speakerphones, and shared whiteboards — on systems handling CUI without the knowledge of the user at the device, AND (2) a configuration screenshot or documented control showing that your systems provide users with an indication when cameras or microphones are active — for example, a hardware or software indicator light — and that remote activation without user knowledge is technically blocked or policy-prohibited?</t>
        </is>
      </c>
      <c r="G103" s="62" t="n">
        <v>1</v>
      </c>
      <c r="H103" s="62" t="inlineStr">
        <is>
          <t>Common failure: no policy addressing cameras and microphones on CUI-handling systems, or collaboration tools configured to allow remote host activation. Modern laptops have hardware camera indicator lights (LED) that satisfy the indication requirement. For software-based meeting tools, the on-screen indicator satisfies this for meeting-initiated use. The policy requirement is primarily about prohibiting unauthorized or covert remote activation — not every legitimate meeting use. Particularly relevant for hybrid-work contractors where CUI work happens at home.</t>
        </is>
      </c>
      <c r="I103" s="62" t="n"/>
      <c r="J103" s="62" t="inlineStr">
        <is>
          <t>3.13.12</t>
        </is>
      </c>
    </row>
    <row r="104" ht="204.45" customHeight="1" s="28">
      <c r="A104" s="62" t="inlineStr">
        <is>
          <t>3.13.13</t>
        </is>
      </c>
      <c r="B104" s="62" t="inlineStr">
        <is>
          <t>SC</t>
        </is>
      </c>
      <c r="C104" s="62" t="inlineStr">
        <is>
          <t>System &amp; Communications Protection</t>
        </is>
      </c>
      <c r="D104" s="62" t="inlineStr">
        <is>
          <t>Control and monitor the use of mobile code</t>
        </is>
      </c>
      <c r="E104" s="62" t="inlineStr">
        <is>
          <t>Control and monitor the use of mobile code.</t>
        </is>
      </c>
      <c r="F104" s="62" t="inlineStr">
        <is>
          <t>Can you produce three things: (1) a mobile code policy defining which types of mobile code — such as JavaScript, ActiveX, Java applets, and browser plugins — are permitted on systems handling CUI, and how unauthorized mobile code is handled, (2) a browser or endpoint configuration screenshot dated within the last 30 days showing mobile code controls are technically enforced — such as browser security settings restricting JavaScript execution or an endpoint security policy controlling browser plugins and extensions, AND (3) monitoring evidence from the last 30 days showing mobile code activity is being tracked — such as a browser security log or endpoint protection report showing mobile code execution events?</t>
        </is>
      </c>
      <c r="G104" s="62" t="n">
        <v>1</v>
      </c>
      <c r="H104" s="62" t="inlineStr">
        <is>
          <t>Common failure: no policy or controls on browser-executed code, leaving systems exposed to drive-by downloads and malicious scripts. Modern endpoint detection and response tools monitor and control mobile code execution. Browser policy applied through your endpoint configuration management or mobile device management tool can restrict JavaScript to trusted sites. At minimum, ensure browser plugins and extensions are controlled — an unauthorized browser extension can exfiltrate content viewed in the browser, including CUI.</t>
        </is>
      </c>
      <c r="I104" s="62" t="n"/>
      <c r="J104" s="62" t="inlineStr">
        <is>
          <t>3.13.13</t>
        </is>
      </c>
    </row>
    <row r="105" ht="166.4" customHeight="1" s="28">
      <c r="A105" s="62" t="inlineStr">
        <is>
          <t>3.13.14</t>
        </is>
      </c>
      <c r="B105" s="62" t="inlineStr">
        <is>
          <t>SC</t>
        </is>
      </c>
      <c r="C105" s="62" t="inlineStr">
        <is>
          <t>System &amp; Communications Protection</t>
        </is>
      </c>
      <c r="D105" s="62" t="inlineStr">
        <is>
          <t>Control and monitor the use of Voice over Internet Protocol technologies</t>
        </is>
      </c>
      <c r="E105" s="62" t="inlineStr">
        <is>
          <t>Control and monitor the use of Voice over Internet Protocol (VoIP) technologies.</t>
        </is>
      </c>
      <c r="F105" s="62" t="inlineStr">
        <is>
          <t>Can you produce three things: (1) a VoIP policy defining how voice-over-IP systems are used in your organization — including which VoIP tools are approved, how they are secured, and what restrictions apply when discussing CUI over VoIP, (2) a VoIP system security configuration dated within the last 30 days showing your VoIP tools are configured securely — such as the encryption settings in your unified-communications platform or VoIP phone system, AND (3) monitoring evidence from the last 30 days showing VoIP usage is tracked — such as a call log or an admin dashboard showing VoIP activity?</t>
        </is>
      </c>
      <c r="G105" s="62" t="n">
        <v>1</v>
      </c>
      <c r="H105" s="62" t="inlineStr">
        <is>
          <t>Common failure: VoIP tools used for CUI discussions without any security configuration or call recording policy. For most small contractors, your video-conferencing or unified-communications platform IS the VoIP system — ensure encryption is enabled, meetings require authentication, and CUI discussions are conducted on the organization's approved and secured tools, not personal phones or consumer apps.</t>
        </is>
      </c>
      <c r="I105" s="62" t="n"/>
      <c r="J105" s="62" t="inlineStr">
        <is>
          <t>3.13.14</t>
        </is>
      </c>
    </row>
    <row r="106" ht="191.75" customHeight="1" s="28">
      <c r="A106" s="62" t="inlineStr">
        <is>
          <t>3.13.15</t>
        </is>
      </c>
      <c r="B106" s="62" t="inlineStr">
        <is>
          <t>SC</t>
        </is>
      </c>
      <c r="C106" s="62" t="inlineStr">
        <is>
          <t>System &amp; Communications Protection</t>
        </is>
      </c>
      <c r="D106" s="62" t="inlineStr">
        <is>
          <t>Protect the authenticity of communications sessions</t>
        </is>
      </c>
      <c r="E106" s="62" t="inlineStr">
        <is>
          <t>Protect the authenticity of communications sessions.</t>
        </is>
      </c>
      <c r="F106" s="62" t="inlineStr">
        <is>
          <t>Can you produce three things: (1) a session authenticity policy defining how your organization ensures that communications sessions are authentic and have not been tampered with — including requirements for TLS on web and API connections and digital signatures where applicable, (2) a configuration screenshot dated within the last 30 days showing session authenticity mechanisms are in place — such as TLS certificate configuration on your web services, a certificate validity screenshot, or an API gateway showing mutual TLS is configured, AND (3) evidence the certificate or session authentication mechanism is current and valid — such as a certificate expiry date showing it has not expired and is issued by a trusted authority?</t>
        </is>
      </c>
      <c r="G106" s="62" t="n">
        <v>5</v>
      </c>
      <c r="H106" s="62" t="inlineStr">
        <is>
          <t>Common failure: expired TLS certificates, self-signed certificates without trust chain validation, or HTTP connections for internal services that transmit CUI. Monitor certificate expiry and renew before expiration — automated certificate management eliminates the manual renewal risk, and most hosting and cloud platforms offer it. Ensure all public-facing and internal CUI-handling services use certificates from trusted certificate authorities.</t>
        </is>
      </c>
      <c r="I106" s="62" t="n"/>
      <c r="J106" s="62" t="inlineStr">
        <is>
          <t>3.13.15</t>
        </is>
      </c>
    </row>
    <row r="107" ht="191.75" customHeight="1" s="28">
      <c r="A107" s="62" t="inlineStr">
        <is>
          <t>3.13.16</t>
        </is>
      </c>
      <c r="B107" s="62" t="inlineStr">
        <is>
          <t>SC</t>
        </is>
      </c>
      <c r="C107" s="62" t="inlineStr">
        <is>
          <t>System &amp; Communications Protection</t>
        </is>
      </c>
      <c r="D107" s="62" t="inlineStr">
        <is>
          <t>Protect the confidentiality of CUI at rest</t>
        </is>
      </c>
      <c r="E107" s="62" t="inlineStr">
        <is>
          <t>Protect the confidentiality of CUI at rest.</t>
        </is>
      </c>
      <c r="F107" s="62" t="inlineStr">
        <is>
          <t>Can you produce three things: (1) an encryption-at-rest policy stating that all CUI stored on your systems — laptops, servers, cloud storage, USB drives, and databases — must be encrypted, (2) configuration evidence dated within the last 30 days showing encryption at rest is enabled on all locations where CUI is stored — such as a full-disk encryption status report, a collaboration platform encryption setting screenshot, or a cloud storage encryption configuration, AND (3) an inventory from the last 90 days of where CUI is stored, confirming each storage location has encryption confirmed as enabled?</t>
        </is>
      </c>
      <c r="G107" s="62" t="n">
        <v>1</v>
      </c>
      <c r="H107" s="62" t="inlineStr">
        <is>
          <t>Common failure: laptops without full-disk encryption (most operating systems include a native full-disk encryption capability — confirm it is enabled, not merely available), cloud storage without encryption settings verified (check the at-rest encryption setting in your cloud provider's storage console), or CUI stored in a location that encryption was never configured for. This overlaps with MP 3.8.9 (backup encryption) — if backup encryption evidence was already collected, it may cross-satisfy the backup portion of this control. Check scope before duplicating. The CUI storage inventory from 3.8.1 (media inventory) may also partially satisfy clause (3) — leverage existing evidence.</t>
        </is>
      </c>
      <c r="I107" s="62" t="n"/>
      <c r="J107" s="62" t="inlineStr">
        <is>
          <t>3.13.16</t>
        </is>
      </c>
    </row>
    <row r="108" ht="204.45" customHeight="1" s="28">
      <c r="A108" s="62" t="inlineStr">
        <is>
          <t>3.14.1</t>
        </is>
      </c>
      <c r="B108" s="62" t="inlineStr">
        <is>
          <t>SI</t>
        </is>
      </c>
      <c r="C108" s="62" t="inlineStr">
        <is>
          <t>System &amp; Information Integrity</t>
        </is>
      </c>
      <c r="D108" s="62" t="inlineStr">
        <is>
          <t>Identify, report, and correct information and system flaws in a timely manner</t>
        </is>
      </c>
      <c r="E108" s="62" t="inlineStr">
        <is>
          <t>Identify, report, and correct system flaws in a timely manner.</t>
        </is>
      </c>
      <c r="F108" s="62" t="inlineStr">
        <is>
          <t>Can you produce three things: (1) a patch management policy defining your process for identifying and applying patches — including who monitors for available patches, how quickly patches must be applied by severity (your policy sets the timelines; NIST does not mandate specific numbers), and who is responsible for verification, (2) patching records from the last 90 days showing which patches were applied, to which systems, and when — such as a Windows Update history, a patch management tool report, or a manually maintained patch log, AND (3) evidence that patches were applied within your policy timelines — for example, a comparison showing a Critical patch was available on date X and applied on date Y, confirming it was within your defined window?</t>
        </is>
      </c>
      <c r="G108" s="62" t="n">
        <v>5</v>
      </c>
      <c r="H108" s="62" t="inlineStr">
        <is>
          <t>Common failure: patches available but not applied for weeks or months, or applied without records. Anchoring to your vendors' regular patch release cadence — most publish on a predictable monthly or periodic schedule — is the standard pattern. This control covers patches generally. RA 3.11.3 covers remediating scan-identified vulnerabilities — related but different scope. If patch records were already collected for 3.11.3, check whether they cross-satisfy portions of this control.</t>
        </is>
      </c>
      <c r="I108" s="62" t="n"/>
      <c r="J108" s="62" t="inlineStr">
        <is>
          <t>3.14.1</t>
        </is>
      </c>
    </row>
    <row r="109" ht="204.45" customHeight="1" s="28">
      <c r="A109" s="62" t="inlineStr">
        <is>
          <t>3.14.2</t>
        </is>
      </c>
      <c r="B109" s="62" t="inlineStr">
        <is>
          <t>SI</t>
        </is>
      </c>
      <c r="C109" s="62" t="inlineStr">
        <is>
          <t>System &amp; Information Integrity</t>
        </is>
      </c>
      <c r="D109" s="62" t="inlineStr">
        <is>
          <t>Provide protection from malicious code at appropriate locations within systems</t>
        </is>
      </c>
      <c r="E109" s="62" t="inlineStr">
        <is>
          <t>Provide protection from malicious code at appropriate locations within organizational systems.</t>
        </is>
      </c>
      <c r="F109" s="62" t="inlineStr">
        <is>
          <t>This control is about deploying protection against malicious code. Can you produce three things: (1) an anti-malware policy stating that all systems handling CUI must have endpoint protection deployed and active — including workstations, laptops, servers, and any system that stores or processes CUI, (2) a configuration screenshot or deployment report dated within the last 30 days from your endpoint protection management dashboard showing protection is active on all CUI-handling systems, AND (3) a detection log or security report from the last 30 days showing your protection is operational and detecting/responding to threats?</t>
        </is>
      </c>
      <c r="G109" s="62" t="n">
        <v>5</v>
      </c>
      <c r="H109" s="62" t="inlineStr">
        <is>
          <t>Common failure: free antivirus on workstations but no protection on servers, or protection deployed but not verified as active on all systems. Treat 3.14.2 and 3.14.4 as a pair. A single well-configured endpoint detection and response tool satisfies this control and contributes evidence to 3.14.2 (deployment), 3.14.4 (update mechanism), 3.14.5 (scanning), and 3.14.6 (monitoring) — one tool, four controls. Verify the relevant feature's configuration in your tool's admin console; the path differs by product.</t>
        </is>
      </c>
      <c r="I109" s="62" t="n"/>
      <c r="J109" s="62" t="inlineStr">
        <is>
          <t>3.14.2</t>
        </is>
      </c>
    </row>
    <row r="110" ht="204.45" customHeight="1" s="28">
      <c r="A110" s="62" t="inlineStr">
        <is>
          <t>3.14.3</t>
        </is>
      </c>
      <c r="B110" s="62" t="inlineStr">
        <is>
          <t>SI</t>
        </is>
      </c>
      <c r="C110" s="62" t="inlineStr">
        <is>
          <t>System &amp; Information Integrity</t>
        </is>
      </c>
      <c r="D110" s="62" t="inlineStr">
        <is>
          <t>Monitor security alerts and advisories and take action in response</t>
        </is>
      </c>
      <c r="E110" s="62" t="inlineStr">
        <is>
          <t>Monitor system security alerts and advisories and take action in response.</t>
        </is>
      </c>
      <c r="F110" s="62" t="inlineStr">
        <is>
          <t>Can you produce three things: (1) evidence of an active subscription to security alert and advisory services — such as the CISA Known Exploited Vulnerabilities catalog (cisa.gov/known-exploited-vulnerabilities-catalog) or the security bulletin feeds published by the vendors of your own software stack (all free), (2) records from the last 90 days showing alerts were reviewed — such as dated email records of alerts received, a log showing the CISA KEV catalog was checked, or a meeting note showing advisories were discussed with IT, AND (3) evidence from the last 90 days showing that high-priority alerts were acted upon — for example, a record showing a CISA KEV-listed vulnerability was identified in your environment and addressed within your policy timeline?</t>
        </is>
      </c>
      <c r="G110" s="62" t="n">
        <v>5</v>
      </c>
      <c r="H110" s="62" t="inlineStr">
        <is>
          <t>Common failure: no subscription to alert services, or subscribed but emails unread, or alerts received but no tracking of what actions were taken. Zero-cost compliance path: subscribe to CISA cybersecurity advisories at cisa.gov/news-events/cybersecurity-advisories, sign up for the CISA Known Exploited Vulnerabilities (KEV) catalog at cisa.gov/known-exploited-vulnerabilities-catalog, and subscribe to the security bulletin or PSIRT feeds published by the vendors whose products you actually run. Create a simple log: alert received, severity, applicable to our environment (yes/no), action taken, date closed.</t>
        </is>
      </c>
      <c r="I110" s="62" t="n"/>
      <c r="J110" s="62" t="inlineStr">
        <is>
          <t>3.14.3</t>
        </is>
      </c>
    </row>
    <row r="111" ht="255.2" customHeight="1" s="28">
      <c r="A111" s="62" t="inlineStr">
        <is>
          <t>3.14.4</t>
        </is>
      </c>
      <c r="B111" s="62" t="inlineStr">
        <is>
          <t>SI</t>
        </is>
      </c>
      <c r="C111" s="62" t="inlineStr">
        <is>
          <t>System &amp; Information Integrity</t>
        </is>
      </c>
      <c r="D111" s="62" t="inlineStr">
        <is>
          <t>Update malicious code protection mechanisms when new releases are available</t>
        </is>
      </c>
      <c r="E111" s="62" t="inlineStr">
        <is>
          <t>Update malicious code protection mechanisms whenever new releases are available in accordance with organizational configuration management policy and procedures.</t>
        </is>
      </c>
      <c r="F111" s="62" t="inlineStr">
        <is>
          <t>This control is about keeping your malicious code protection current. Can you produce three things: (1) an update policy defining how frequently your endpoint protection definitions and engines must be updated — and confirming auto-update is enabled or that manual updates follow a defined schedule, (2) evidence dated within the last 30 days showing your anti-malware definitions are current — such as a definition update date or an admin console showing the last update timestamp, or a software version report confirming the latest engine is deployed, AND (3) a configuration screenshot showing auto-update is enabled — or if manual, a record showing updates were applied within your defined schedule?</t>
        </is>
      </c>
      <c r="G111" s="62" t="n">
        <v>5</v>
      </c>
      <c r="H111" s="62" t="inlineStr">
        <is>
          <t>Common failure: anti-malware deployed but auto-update disabled 'to avoid interruptions' — out-of-date definitions cannot detect new threats. Enable auto-update on all endpoint protection tools. The same EDR evidence that satisfies 3.14.2 (deployment) will often cross-satisfy this control's update requirements if the console shows both deployment status and definition currency. Treat 3.14.2 and 3.14.4 as a pair. A single well-configured endpoint detection and response tool satisfies this control and contributes evidence to 3.14.2 (deployment), 3.14.4 (update mechanism), 3.14.5 (scanning), and 3.14.6 (monitoring) — one tool, four controls. Verify the relevant feature's configuration in your tool's admin console; the path differs by product.</t>
        </is>
      </c>
      <c r="I111" s="62" t="n"/>
      <c r="J111" s="62" t="inlineStr">
        <is>
          <t>3.14.4</t>
        </is>
      </c>
    </row>
    <row r="112" ht="267.9" customHeight="1" s="28">
      <c r="A112" s="62" t="inlineStr">
        <is>
          <t>3.14.5</t>
        </is>
      </c>
      <c r="B112" s="62" t="inlineStr">
        <is>
          <t>SI</t>
        </is>
      </c>
      <c r="C112" s="62" t="inlineStr">
        <is>
          <t>System &amp; Information Integrity</t>
        </is>
      </c>
      <c r="D112" s="62" t="inlineStr">
        <is>
          <t>Perform periodic scans and real-time scans of files from external sources</t>
        </is>
      </c>
      <c r="E112" s="62" t="inlineStr">
        <is>
          <t>Perform periodic scans of organizational systems and real-time scans of files from external sources as files are downloaded, opened, or executed.</t>
        </is>
      </c>
      <c r="F112" s="62" t="inlineStr">
        <is>
          <t>Can you produce three things: (1) a scanning policy defining both the cadence for periodic full scans of your systems and the requirement for real-time scanning of files from external sources (downloads, email attachments, USB files), (2) a configuration screenshot dated within the last 30 days showing periodic scans are scheduled and real-time scanning is enabled on all CUI-handling systems — from your endpoint protection's scheduled scan and real-time protection settings, AND (3) a scan log or report from the last 30 days confirming scheduled scans ran as configured?</t>
        </is>
      </c>
      <c r="G112" s="62" t="n">
        <v>3</v>
      </c>
      <c r="H112" s="62" t="inlineStr">
        <is>
          <t>Common failure: real-time scanning disabled for performance reasons, or periodic scans scheduled but never verified as running. Most EDR tools satisfy both the periodic and real-time scan requirements in a single deployment — the same tool used for 3.14.2 and 3.14.4 likely also satisfies this control. Check your EDR console for scan schedule and real-time protection status. Do not disable real-time scanning on any system that handles CUI. A single well-configured endpoint detection and response tool satisfies this control and contributes evidence to 3.14.2 (deployment), 3.14.4 (update mechanism), 3.14.5 (scanning), and 3.14.6 (monitoring) — one tool, four controls. Verify the relevant feature's configuration in your tool's admin console; the path differs by product.</t>
        </is>
      </c>
      <c r="I112" s="62" t="n"/>
      <c r="J112" s="62" t="inlineStr">
        <is>
          <t>3.14.5</t>
        </is>
      </c>
    </row>
    <row r="113" ht="331.3" customHeight="1" s="28">
      <c r="A113" s="62" t="inlineStr">
        <is>
          <t>3.14.6</t>
        </is>
      </c>
      <c r="B113" s="62" t="inlineStr">
        <is>
          <t>SI</t>
        </is>
      </c>
      <c r="C113" s="62" t="inlineStr">
        <is>
          <t>System &amp; Information Integrity</t>
        </is>
      </c>
      <c r="D113" s="62" t="inlineStr">
        <is>
          <t>Monitor systems to detect attacks and indicators of potential attacks</t>
        </is>
      </c>
      <c r="E113" s="62" t="inlineStr">
        <is>
          <t>Monitor organizational systems, including inbound and outbound communications traffic, to detect attacks and indicators of potential attacks.</t>
        </is>
      </c>
      <c r="F113" s="62" t="inlineStr">
        <is>
          <t>Can you produce three things: (1) a monitoring policy defining what your organization monitors for attack indicators — including both network traffic monitoring and endpoint monitoring — and who is responsible for reviewing findings, (2) a monitoring tool configuration dated within the last 30 days showing your detection capability is active — such as a SIEM, EDR console, or IDS configuration showing it is monitoring CUI-handling systems and their communications, AND (3) monitoring evidence from the last 30 days showing the detection capability produced output — such as a log of events reviewed, an alert summary, or a report showing no anomalies detected (a clean report is also evidence the monitoring ran)?</t>
        </is>
      </c>
      <c r="G113" s="62" t="n">
        <v>5</v>
      </c>
      <c r="H113" s="62" t="inlineStr">
        <is>
          <t>Common failure: monitoring deployed but alerts never reviewed — monitoring no one reads provides no security value. This control requires active detection of attack indicators, not just event logging. It is distinct from AU 3.3.x logging: logging captures events; this control requires watching those events for attack signatures and acting on findings. For network-side visibility, firewall or router logs with a weekly review satisfy the requirement at small scale. Document each review with a dated note, including clean reviews — a clean report is also evidence the monitoring ran. A single well-configured endpoint detection and response tool satisfies this control and contributes evidence to 3.14.2 (deployment), 3.14.4 (update mechanism), 3.14.5 (scanning), and 3.14.6 (monitoring) — one tool, four controls. Verify the relevant feature's configuration in your tool's admin console; the path differs by product.</t>
        </is>
      </c>
      <c r="I113" s="62" t="n"/>
      <c r="J113" s="62" t="inlineStr">
        <is>
          <t>3.14.6</t>
        </is>
      </c>
    </row>
    <row r="114" ht="293.25" customHeight="1" s="28">
      <c r="A114" s="62" t="inlineStr">
        <is>
          <t>3.14.7</t>
        </is>
      </c>
      <c r="B114" s="62" t="inlineStr">
        <is>
          <t>SI</t>
        </is>
      </c>
      <c r="C114" s="62" t="inlineStr">
        <is>
          <t>System &amp; Information Integrity</t>
        </is>
      </c>
      <c r="D114" s="62" t="inlineStr">
        <is>
          <t>Identify unauthorized use of organizational systems</t>
        </is>
      </c>
      <c r="E114" s="62" t="inlineStr">
        <is>
          <t>Identify unauthorized use of organizational systems.</t>
        </is>
      </c>
      <c r="F114" s="62" t="inlineStr">
        <is>
          <t>Can you produce three things: (1) a policy defining how your organization detects and responds to unauthorized use of systems — including what constitutes unauthorized use, how it is detected, and who is responsible for investigation, (2) a detection mechanism configuration dated within the last 30 days showing your systems have controls in place to identify anomalous or unauthorized activity — such as an EDR behavioral detection rule, a SIEM correlation rule, or an identity anomaly detection setting, AND (3) evidence from the last 90 days that potential unauthorized use indicators were reviewed — such as a user behavior report, an anomaly alert review log, or a security review noting no unauthorized use detected?</t>
        </is>
      </c>
      <c r="G114" s="62" t="n">
        <v>3</v>
      </c>
      <c r="H114" s="62" t="inlineStr">
        <is>
          <t>Common failure: monitoring exists but no specific review cycle for unauthorized-use indicators, or alerts configured but never actioned. This control is the response side of AU 3.3.x audit logging — AU captures the logs; this control requires using those logs to identify unauthorized use. A monthly review of your EDR anomaly report or your identity platform's risk dashboard satisfies the review requirement. Note that risk-based identity dashboards are typically a premium licensing tier and may not be included in entry-level subscriptions. Where no risk dashboard is available, a documented monthly review of authentication logs for anomalies — unusual login locations, impossible travel events, or spikes in failed logins — satisfies the control using logs available in any major identity platform's admin console. Document the review with a dated note even when findings are clean.</t>
        </is>
      </c>
      <c r="I114" s="62" t="n"/>
      <c r="J114" s="62" t="inlineStr">
        <is>
          <t>3.14.7</t>
        </is>
      </c>
    </row>
  </sheetData>
  <sheetProtection selectLockedCells="0" selectUnlockedCells="0" sheet="1" objects="1" insertRows="1" insertHyperlinks="1" autoFilter="0" scenarios="1" formatColumns="0" deleteColumns="1" insertColumns="1" pivotTables="1" deleteRows="1" formatCells="0" formatRows="0" sort="1" password="EAC5"/>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B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0" customWidth="1" style="27" min="1" max="1"/>
    <col width="15" customWidth="1" style="27" min="2" max="2"/>
  </cols>
  <sheetData>
    <row r="1" ht="15" customHeight="1" s="28">
      <c r="A1" s="61" t="inlineStr">
        <is>
          <t>Description</t>
        </is>
      </c>
      <c r="B1" s="61" t="inlineStr">
        <is>
          <t>Value</t>
        </is>
      </c>
    </row>
    <row r="2" ht="15" customHeight="1" s="28">
      <c r="A2" s="32" t="inlineStr">
        <is>
          <t>SPRS_Max — perfect score</t>
        </is>
      </c>
      <c r="B2" s="32" t="n">
        <v>110</v>
      </c>
    </row>
    <row r="3" ht="15" customHeight="1" s="28">
      <c r="A3" s="32" t="inlineStr">
        <is>
          <t>SPRS_MaxDeduction — worst-case</t>
        </is>
      </c>
      <c r="B3" s="32" t="n">
        <v>313</v>
      </c>
    </row>
    <row r="4" ht="15" customHeight="1" s="28">
      <c r="A4" s="32" t="inlineStr">
        <is>
          <t>Risk_Threshold — DoD elevated-risk line</t>
        </is>
      </c>
      <c r="B4" s="32" t="n">
        <v>88</v>
      </c>
    </row>
    <row r="6" ht="15" customHeight="1" s="28">
      <c r="A6" s="32" t="inlineStr">
        <is>
          <t>Drift self-check (library weights vs SPRS_MaxDeduction)</t>
        </is>
      </c>
      <c r="B6" s="63">
        <f>IF((SUMPRODUCT(--(Lookups!G2:G114=5))*5)+(SUMPRODUCT(--(Lookups!G2:G114=3))*3)+(SUMPRODUCT(--(Lookups!G2:G114=1))*1)=SPRS_MaxDeduction, "OK", "DRIFT — content library weights changed; verify SPRS_MaxDeduction")</f>
        <v/>
      </c>
    </row>
    <row r="8">
      <c r="A8" s="41" t="inlineStr">
        <is>
          <t>Order self-check (questions in canonical NIST order)</t>
        </is>
      </c>
      <c r="B8" s="37">
        <f>IF(SUM(Questions!R2:R129)=0, "OK", "ORDER CHANGED — rows have been sorted or moved. The Gap Report may be wrong. Re-download a clean copy.")</f>
        <v/>
      </c>
    </row>
  </sheetData>
  <sheetProtection selectLockedCells="0" selectUnlockedCells="0" sheet="1" objects="1" insertRows="1" insertHyperlinks="1" autoFilter="0" scenarios="1" formatColumns="0" deleteColumns="1" insertColumns="1" pivotTables="1" deleteRows="1" formatCells="0" formatRows="0" sort="1" password="EAC5"/>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DARS LLC</dc:creator>
  <dc:title xmlns:dc="http://purl.org/dc/elements/1.1/">DARS Compass — CMMC Readiness Scan</dc:title>
  <dc:description xmlns:dc="http://purl.org/dc/elements/1.1/">Tool version 1.0 · Content library v1.29.2 · darsgrc.com · Local-only, no macros, no external connections.</dc:description>
  <dc:subject xmlns:dc="http://purl.org/dc/elements/1.1/">NIST SP 800-171 Rev. 2 self-assessment and SPRS score estimate (DoD Assessment Methodology v1.2.1)</dc:subject>
  <dc:language xmlns:dc="http://purl.org/dc/elements/1.1/">en-US</dc:language>
  <dcterms:created xmlns:dcterms="http://purl.org/dc/terms/" xmlns:xsi="http://www.w3.org/2001/XMLSchema-instance" xsi:type="dcterms:W3CDTF">2026-09-22T00:00:00Z</dcterms:created>
  <dcterms:modified xmlns:dcterms="http://purl.org/dc/terms/" xmlns:xsi="http://www.w3.org/2001/XMLSchema-instance" xsi:type="dcterms:W3CDTF">2026-10-04T19:27:45Z</dcterms:modified>
  <cp:lastModifiedBy>DARS LLC</cp:lastModifiedBy>
  <cp:category>Free Tool Track</cp:category>
  <cp:revision>0</cp:revision>
  <cp:keywords>CMMC; NIST SP 800-171; SPRS; readiness; DARS Compass</cp:keywords>
</cp:coreProperties>
</file>